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Grants\Budget Template\"/>
    </mc:Choice>
  </mc:AlternateContent>
  <xr:revisionPtr revIDLastSave="0" documentId="13_ncr:1_{DDDF2801-13F4-4A05-BC39-C6FCE73CE3B4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Budget-NoSub" sheetId="1" r:id="rId1"/>
    <sheet name="Budget-wzSub" sheetId="14" r:id="rId2"/>
    <sheet name="NIH Modular" sheetId="15" r:id="rId3"/>
    <sheet name="DOE wz CostShare" sheetId="18" r:id="rId4"/>
    <sheet name="MURI" sheetId="16" r:id="rId5"/>
    <sheet name="USDA" sheetId="17" r:id="rId6"/>
    <sheet name="Travel" sheetId="10" r:id="rId7"/>
    <sheet name="GA Rate" sheetId="13" state="hidden" r:id="rId8"/>
    <sheet name="Fringe" sheetId="12" r:id="rId9"/>
    <sheet name="eRoutingInstruction" sheetId="5" state="hidden" r:id="rId10"/>
  </sheets>
  <definedNames>
    <definedName name="_Hlk43727562" localSheetId="9">eRoutingInstruction!$A$3</definedName>
    <definedName name="_xlnm.Print_Area" localSheetId="0">'Budget-NoSub'!$A$1:$S$60</definedName>
    <definedName name="_xlnm.Print_Area" localSheetId="1">'Budget-wzSub'!$A$1:$S$72</definedName>
    <definedName name="_xlnm.Print_Area" localSheetId="3">'DOE wz CostShare'!$A$1:$Q$66</definedName>
    <definedName name="_xlnm.Print_Area" localSheetId="4">MURI!$A$1:$W$86</definedName>
    <definedName name="_xlnm.Print_Area" localSheetId="2">'NIH Modular'!$A:$H</definedName>
    <definedName name="_xlnm.Print_Area" localSheetId="5">USDA!$A:$J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6" l="1"/>
  <c r="G56" i="16"/>
  <c r="H56" i="16"/>
  <c r="I56" i="16"/>
  <c r="J56" i="16"/>
  <c r="K56" i="16"/>
  <c r="E56" i="16"/>
  <c r="F56" i="18"/>
  <c r="G56" i="18"/>
  <c r="E56" i="18"/>
  <c r="F55" i="14"/>
  <c r="G55" i="14"/>
  <c r="H55" i="14"/>
  <c r="J55" i="14" s="1"/>
  <c r="I55" i="14"/>
  <c r="E55" i="14"/>
  <c r="J81" i="18"/>
  <c r="J82" i="18"/>
  <c r="J83" i="18"/>
  <c r="J80" i="18"/>
  <c r="D65" i="18"/>
  <c r="E69" i="18" s="1"/>
  <c r="J69" i="18" s="1"/>
  <c r="D64" i="18"/>
  <c r="N73" i="18"/>
  <c r="M73" i="18"/>
  <c r="G73" i="18"/>
  <c r="F73" i="18"/>
  <c r="E73" i="18"/>
  <c r="P72" i="18"/>
  <c r="O72" i="18"/>
  <c r="N72" i="18"/>
  <c r="M72" i="18"/>
  <c r="I72" i="18"/>
  <c r="H72" i="18"/>
  <c r="G72" i="18"/>
  <c r="F72" i="18"/>
  <c r="E72" i="18"/>
  <c r="P71" i="18"/>
  <c r="O71" i="18"/>
  <c r="N71" i="18"/>
  <c r="M71" i="18"/>
  <c r="I71" i="18"/>
  <c r="H71" i="18"/>
  <c r="G71" i="18"/>
  <c r="F71" i="18"/>
  <c r="E71" i="18"/>
  <c r="S70" i="18"/>
  <c r="P70" i="18"/>
  <c r="O70" i="18"/>
  <c r="N70" i="18"/>
  <c r="M70" i="18"/>
  <c r="I70" i="18"/>
  <c r="H70" i="18"/>
  <c r="G70" i="18"/>
  <c r="F70" i="18"/>
  <c r="E70" i="18"/>
  <c r="Q64" i="18"/>
  <c r="J64" i="18"/>
  <c r="AE59" i="18"/>
  <c r="P59" i="18" s="1"/>
  <c r="AD59" i="18"/>
  <c r="O59" i="18" s="1"/>
  <c r="AC59" i="18"/>
  <c r="N59" i="18" s="1"/>
  <c r="AB59" i="18"/>
  <c r="M59" i="18" s="1"/>
  <c r="AA59" i="18"/>
  <c r="L59" i="18" s="1"/>
  <c r="Y59" i="18"/>
  <c r="I59" i="18" s="1"/>
  <c r="X59" i="18"/>
  <c r="H59" i="18" s="1"/>
  <c r="W59" i="18"/>
  <c r="G59" i="18" s="1"/>
  <c r="V59" i="18"/>
  <c r="F59" i="18" s="1"/>
  <c r="U59" i="18"/>
  <c r="E59" i="18" s="1"/>
  <c r="AC58" i="18"/>
  <c r="AB58" i="18"/>
  <c r="AA58" i="18"/>
  <c r="Y58" i="18"/>
  <c r="X58" i="18"/>
  <c r="W58" i="18"/>
  <c r="V58" i="18"/>
  <c r="U58" i="18"/>
  <c r="T58" i="18"/>
  <c r="P58" i="18" s="1"/>
  <c r="Q57" i="18"/>
  <c r="J57" i="18"/>
  <c r="N56" i="18"/>
  <c r="M56" i="18"/>
  <c r="L54" i="18"/>
  <c r="L73" i="18" s="1"/>
  <c r="J54" i="18"/>
  <c r="L53" i="18"/>
  <c r="L72" i="18" s="1"/>
  <c r="J53" i="18"/>
  <c r="L52" i="18"/>
  <c r="L71" i="18" s="1"/>
  <c r="J52" i="18"/>
  <c r="L51" i="18"/>
  <c r="L70" i="18" s="1"/>
  <c r="J51" i="18"/>
  <c r="Q50" i="18"/>
  <c r="J50" i="18"/>
  <c r="Q49" i="18"/>
  <c r="J49" i="18"/>
  <c r="Q48" i="18"/>
  <c r="J48" i="18"/>
  <c r="Q47" i="18"/>
  <c r="J47" i="18"/>
  <c r="P45" i="18"/>
  <c r="O45" i="18"/>
  <c r="N45" i="18"/>
  <c r="M45" i="18"/>
  <c r="L45" i="18"/>
  <c r="I45" i="18"/>
  <c r="H45" i="18"/>
  <c r="G45" i="18"/>
  <c r="F45" i="18"/>
  <c r="E45" i="18"/>
  <c r="Q44" i="18"/>
  <c r="J44" i="18"/>
  <c r="Q43" i="18"/>
  <c r="J43" i="18"/>
  <c r="Q42" i="18"/>
  <c r="J42" i="18"/>
  <c r="Q41" i="18"/>
  <c r="J41" i="18"/>
  <c r="Q40" i="18"/>
  <c r="J40" i="18"/>
  <c r="P38" i="18"/>
  <c r="O38" i="18"/>
  <c r="N38" i="18"/>
  <c r="M38" i="18"/>
  <c r="L38" i="18"/>
  <c r="I38" i="18"/>
  <c r="H38" i="18"/>
  <c r="G38" i="18"/>
  <c r="F38" i="18"/>
  <c r="E38" i="18"/>
  <c r="Q37" i="18"/>
  <c r="J37" i="18"/>
  <c r="Q36" i="18"/>
  <c r="J36" i="18"/>
  <c r="P35" i="18"/>
  <c r="O35" i="18"/>
  <c r="N35" i="18"/>
  <c r="M35" i="18"/>
  <c r="L35" i="18"/>
  <c r="I35" i="18"/>
  <c r="H35" i="18"/>
  <c r="G35" i="18"/>
  <c r="F35" i="18"/>
  <c r="E35" i="18"/>
  <c r="Q34" i="18"/>
  <c r="J34" i="18"/>
  <c r="Q33" i="18"/>
  <c r="J33" i="18"/>
  <c r="P29" i="18"/>
  <c r="O29" i="18"/>
  <c r="P22" i="18"/>
  <c r="O22" i="18"/>
  <c r="N22" i="18"/>
  <c r="M22" i="18"/>
  <c r="L22" i="18"/>
  <c r="I22" i="18"/>
  <c r="H22" i="18"/>
  <c r="G22" i="18"/>
  <c r="F22" i="18"/>
  <c r="E22" i="18"/>
  <c r="S21" i="18"/>
  <c r="P21" i="18"/>
  <c r="O21" i="18"/>
  <c r="N21" i="18"/>
  <c r="M21" i="18"/>
  <c r="L21" i="18"/>
  <c r="I21" i="18"/>
  <c r="H21" i="18"/>
  <c r="G21" i="18"/>
  <c r="F21" i="18"/>
  <c r="E21" i="18"/>
  <c r="W20" i="18"/>
  <c r="G20" i="18" s="1"/>
  <c r="G29" i="18" s="1"/>
  <c r="V20" i="18"/>
  <c r="F20" i="18" s="1"/>
  <c r="F29" i="18" s="1"/>
  <c r="U20" i="18"/>
  <c r="E20" i="18" s="1"/>
  <c r="P20" i="18"/>
  <c r="O20" i="18"/>
  <c r="N20" i="18"/>
  <c r="N29" i="18" s="1"/>
  <c r="M20" i="18"/>
  <c r="M29" i="18" s="1"/>
  <c r="L20" i="18"/>
  <c r="I20" i="18"/>
  <c r="I29" i="18" s="1"/>
  <c r="H20" i="18"/>
  <c r="H29" i="18" s="1"/>
  <c r="T19" i="18"/>
  <c r="G19" i="18" s="1"/>
  <c r="G28" i="18" s="1"/>
  <c r="N19" i="18"/>
  <c r="N28" i="18" s="1"/>
  <c r="T18" i="18"/>
  <c r="H18" i="18" s="1"/>
  <c r="P18" i="18"/>
  <c r="T17" i="18"/>
  <c r="G17" i="18" s="1"/>
  <c r="G27" i="18" s="1"/>
  <c r="S16" i="18"/>
  <c r="P16" i="18"/>
  <c r="O16" i="18"/>
  <c r="N16" i="18"/>
  <c r="M16" i="18"/>
  <c r="L16" i="18"/>
  <c r="I16" i="18"/>
  <c r="H16" i="18"/>
  <c r="G16" i="18"/>
  <c r="F16" i="18"/>
  <c r="E16" i="18"/>
  <c r="S15" i="18"/>
  <c r="P15" i="18"/>
  <c r="O15" i="18"/>
  <c r="O26" i="18" s="1"/>
  <c r="N15" i="18"/>
  <c r="M15" i="18"/>
  <c r="L15" i="18"/>
  <c r="I15" i="18"/>
  <c r="H15" i="18"/>
  <c r="G15" i="18"/>
  <c r="F15" i="18"/>
  <c r="E15" i="18"/>
  <c r="Q14" i="18"/>
  <c r="J14" i="18"/>
  <c r="P12" i="18"/>
  <c r="O12" i="18"/>
  <c r="N12" i="18"/>
  <c r="M12" i="18"/>
  <c r="L12" i="18"/>
  <c r="I12" i="18"/>
  <c r="H12" i="18"/>
  <c r="G12" i="18"/>
  <c r="F12" i="18"/>
  <c r="E12" i="18"/>
  <c r="P11" i="18"/>
  <c r="O11" i="18"/>
  <c r="N11" i="18"/>
  <c r="M11" i="18"/>
  <c r="L11" i="18"/>
  <c r="I11" i="18"/>
  <c r="H11" i="18"/>
  <c r="G11" i="18"/>
  <c r="F11" i="18"/>
  <c r="E11" i="18"/>
  <c r="P10" i="18"/>
  <c r="O10" i="18"/>
  <c r="N10" i="18"/>
  <c r="M10" i="18"/>
  <c r="L10" i="18"/>
  <c r="I10" i="18"/>
  <c r="H10" i="18"/>
  <c r="G10" i="18"/>
  <c r="F10" i="18"/>
  <c r="E10" i="18"/>
  <c r="P9" i="18"/>
  <c r="O9" i="18"/>
  <c r="N9" i="18"/>
  <c r="M9" i="18"/>
  <c r="L9" i="18"/>
  <c r="I9" i="18"/>
  <c r="H9" i="18"/>
  <c r="G9" i="18"/>
  <c r="F9" i="18"/>
  <c r="E9" i="18"/>
  <c r="S8" i="18"/>
  <c r="T8" i="18" s="1"/>
  <c r="T7" i="18"/>
  <c r="P7" i="18" s="1"/>
  <c r="J35" i="17"/>
  <c r="D65" i="16"/>
  <c r="D64" i="16"/>
  <c r="E69" i="16" s="1"/>
  <c r="L69" i="16" s="1"/>
  <c r="L57" i="16"/>
  <c r="L37" i="16"/>
  <c r="D64" i="15"/>
  <c r="C85" i="15" s="1"/>
  <c r="D63" i="15"/>
  <c r="C83" i="15" s="1"/>
  <c r="H36" i="15"/>
  <c r="J36" i="1"/>
  <c r="J36" i="14"/>
  <c r="J46" i="14"/>
  <c r="D64" i="14"/>
  <c r="D63" i="14"/>
  <c r="E68" i="14" s="1"/>
  <c r="J68" i="14" s="1"/>
  <c r="J56" i="14"/>
  <c r="D59" i="1"/>
  <c r="D58" i="1"/>
  <c r="J51" i="1"/>
  <c r="L20" i="1"/>
  <c r="L15" i="1"/>
  <c r="L14" i="1"/>
  <c r="J46" i="1"/>
  <c r="U7" i="15"/>
  <c r="J16" i="16"/>
  <c r="K16" i="16"/>
  <c r="K15" i="16"/>
  <c r="J15" i="16"/>
  <c r="J26" i="16" s="1"/>
  <c r="O17" i="16"/>
  <c r="J17" i="16" s="1"/>
  <c r="O18" i="16"/>
  <c r="J18" i="16" s="1"/>
  <c r="O19" i="16"/>
  <c r="H19" i="16" s="1"/>
  <c r="O58" i="16"/>
  <c r="I8" i="17"/>
  <c r="I9" i="17"/>
  <c r="I10" i="17"/>
  <c r="I11" i="17"/>
  <c r="E8" i="17"/>
  <c r="F8" i="17"/>
  <c r="G8" i="17"/>
  <c r="H8" i="17"/>
  <c r="E9" i="17"/>
  <c r="F9" i="17"/>
  <c r="G9" i="17"/>
  <c r="H9" i="17"/>
  <c r="E10" i="17"/>
  <c r="F10" i="17"/>
  <c r="G10" i="17"/>
  <c r="H10" i="17"/>
  <c r="E11" i="17"/>
  <c r="F11" i="17"/>
  <c r="G11" i="17"/>
  <c r="H11" i="17"/>
  <c r="E10" i="16"/>
  <c r="J10" i="16" s="1"/>
  <c r="F10" i="16"/>
  <c r="G10" i="16"/>
  <c r="H10" i="16"/>
  <c r="I10" i="16"/>
  <c r="K10" i="16"/>
  <c r="E11" i="16"/>
  <c r="F11" i="16"/>
  <c r="G11" i="16"/>
  <c r="H11" i="16"/>
  <c r="I11" i="16"/>
  <c r="K11" i="16"/>
  <c r="E12" i="16"/>
  <c r="J12" i="16" s="1"/>
  <c r="F12" i="16"/>
  <c r="G12" i="16"/>
  <c r="H12" i="16"/>
  <c r="I12" i="16"/>
  <c r="K12" i="16"/>
  <c r="E8" i="15"/>
  <c r="H8" i="15" s="1"/>
  <c r="F8" i="15"/>
  <c r="G8" i="15"/>
  <c r="E9" i="15"/>
  <c r="F9" i="15"/>
  <c r="G9" i="15"/>
  <c r="E10" i="15"/>
  <c r="H10" i="15" s="1"/>
  <c r="F10" i="15"/>
  <c r="G10" i="15"/>
  <c r="E11" i="15"/>
  <c r="F11" i="15"/>
  <c r="G11" i="15"/>
  <c r="K7" i="15"/>
  <c r="G7" i="15" s="1"/>
  <c r="E8" i="14"/>
  <c r="F8" i="14"/>
  <c r="G8" i="14"/>
  <c r="H8" i="14"/>
  <c r="I8" i="14"/>
  <c r="E9" i="14"/>
  <c r="F9" i="14"/>
  <c r="G9" i="14"/>
  <c r="H9" i="14"/>
  <c r="I9" i="14"/>
  <c r="E10" i="14"/>
  <c r="F10" i="14"/>
  <c r="G10" i="14"/>
  <c r="H10" i="14"/>
  <c r="I10" i="14"/>
  <c r="E11" i="14"/>
  <c r="F11" i="14"/>
  <c r="G11" i="14"/>
  <c r="H11" i="14"/>
  <c r="I11" i="14"/>
  <c r="M7" i="14"/>
  <c r="E7" i="14" s="1"/>
  <c r="M16" i="14"/>
  <c r="G16" i="14" s="1"/>
  <c r="M17" i="14"/>
  <c r="G17" i="14" s="1"/>
  <c r="M18" i="14"/>
  <c r="I18" i="14" s="1"/>
  <c r="M57" i="14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M7" i="1"/>
  <c r="E7" i="1" s="1"/>
  <c r="O51" i="17"/>
  <c r="F51" i="17" s="1"/>
  <c r="M7" i="17"/>
  <c r="H7" i="17" s="1"/>
  <c r="E7" i="10"/>
  <c r="H7" i="10" s="1"/>
  <c r="E5" i="10"/>
  <c r="E6" i="10"/>
  <c r="E8" i="10"/>
  <c r="J68" i="17"/>
  <c r="L68" i="17" s="1"/>
  <c r="J69" i="17"/>
  <c r="M69" i="17" s="1"/>
  <c r="L69" i="17"/>
  <c r="J70" i="17"/>
  <c r="M70" i="17" s="1"/>
  <c r="L70" i="17"/>
  <c r="E71" i="17"/>
  <c r="E62" i="17" s="1"/>
  <c r="F71" i="17"/>
  <c r="F62" i="17" s="1"/>
  <c r="G71" i="17"/>
  <c r="H71" i="17"/>
  <c r="E14" i="17"/>
  <c r="E15" i="17"/>
  <c r="E24" i="17"/>
  <c r="M16" i="17"/>
  <c r="G16" i="17" s="1"/>
  <c r="G25" i="17" s="1"/>
  <c r="M17" i="17"/>
  <c r="I17" i="17" s="1"/>
  <c r="E17" i="17"/>
  <c r="E18" i="17"/>
  <c r="E26" i="17"/>
  <c r="E19" i="17"/>
  <c r="E27" i="17" s="1"/>
  <c r="E20" i="17"/>
  <c r="E33" i="17"/>
  <c r="E43" i="17"/>
  <c r="N51" i="17"/>
  <c r="M51" i="17"/>
  <c r="E51" i="17"/>
  <c r="N52" i="17"/>
  <c r="E52" i="17" s="1"/>
  <c r="M52" i="17"/>
  <c r="G52" i="17" s="1"/>
  <c r="G53" i="17" s="1"/>
  <c r="E36" i="17"/>
  <c r="F14" i="17"/>
  <c r="F15" i="17"/>
  <c r="F17" i="17"/>
  <c r="F18" i="17"/>
  <c r="F26" i="17" s="1"/>
  <c r="F19" i="17"/>
  <c r="F27" i="17" s="1"/>
  <c r="F20" i="17"/>
  <c r="F33" i="17"/>
  <c r="F43" i="17"/>
  <c r="J43" i="17" s="1"/>
  <c r="O52" i="17"/>
  <c r="F52" i="17" s="1"/>
  <c r="F36" i="17"/>
  <c r="G14" i="17"/>
  <c r="G15" i="17"/>
  <c r="G17" i="17"/>
  <c r="G18" i="17"/>
  <c r="G26" i="17" s="1"/>
  <c r="G19" i="17"/>
  <c r="G27" i="17" s="1"/>
  <c r="G20" i="17"/>
  <c r="G33" i="17"/>
  <c r="G43" i="17"/>
  <c r="P51" i="17"/>
  <c r="G51" i="17" s="1"/>
  <c r="P52" i="17"/>
  <c r="G36" i="17"/>
  <c r="J36" i="17" s="1"/>
  <c r="H14" i="17"/>
  <c r="H24" i="17" s="1"/>
  <c r="H15" i="17"/>
  <c r="H17" i="17"/>
  <c r="H18" i="17"/>
  <c r="H26" i="17"/>
  <c r="H19" i="17"/>
  <c r="H27" i="17" s="1"/>
  <c r="H20" i="17"/>
  <c r="H33" i="17"/>
  <c r="H43" i="17"/>
  <c r="Q51" i="17"/>
  <c r="H36" i="17"/>
  <c r="E63" i="17"/>
  <c r="E64" i="17"/>
  <c r="J64" i="17" s="1"/>
  <c r="F63" i="17"/>
  <c r="F64" i="17"/>
  <c r="G62" i="17"/>
  <c r="G63" i="17"/>
  <c r="G65" i="17" s="1"/>
  <c r="G64" i="17"/>
  <c r="H62" i="17"/>
  <c r="H63" i="17"/>
  <c r="H65" i="17" s="1"/>
  <c r="H64" i="17"/>
  <c r="I14" i="17"/>
  <c r="I15" i="17"/>
  <c r="I24" i="17"/>
  <c r="I18" i="17"/>
  <c r="I26" i="17" s="1"/>
  <c r="I19" i="17"/>
  <c r="I27" i="17" s="1"/>
  <c r="I20" i="17"/>
  <c r="I33" i="17"/>
  <c r="I43" i="17"/>
  <c r="I53" i="17"/>
  <c r="E61" i="17"/>
  <c r="F61" i="17"/>
  <c r="G61" i="17"/>
  <c r="H61" i="17"/>
  <c r="J61" i="17" s="1"/>
  <c r="E60" i="17"/>
  <c r="J60" i="17" s="1"/>
  <c r="F60" i="17"/>
  <c r="G60" i="17"/>
  <c r="H60" i="17"/>
  <c r="R52" i="17"/>
  <c r="Q52" i="17"/>
  <c r="R51" i="17"/>
  <c r="J49" i="17"/>
  <c r="J48" i="17"/>
  <c r="J47" i="17"/>
  <c r="J46" i="17"/>
  <c r="J42" i="17"/>
  <c r="J41" i="17"/>
  <c r="J40" i="17"/>
  <c r="J39" i="17"/>
  <c r="J38" i="17"/>
  <c r="J37" i="17"/>
  <c r="J34" i="17"/>
  <c r="J32" i="17"/>
  <c r="J31" i="17"/>
  <c r="J18" i="17"/>
  <c r="O9" i="16"/>
  <c r="F9" i="16" s="1"/>
  <c r="O8" i="16"/>
  <c r="I8" i="16" s="1"/>
  <c r="AC8" i="16" s="1"/>
  <c r="U20" i="16"/>
  <c r="J20" i="16" s="1"/>
  <c r="J28" i="16" s="1"/>
  <c r="J21" i="16"/>
  <c r="J29" i="16" s="1"/>
  <c r="J22" i="16"/>
  <c r="U58" i="16"/>
  <c r="U59" i="16"/>
  <c r="J59" i="16" s="1"/>
  <c r="J35" i="16"/>
  <c r="K20" i="16"/>
  <c r="K28" i="16" s="1"/>
  <c r="K21" i="16"/>
  <c r="K29" i="16" s="1"/>
  <c r="K22" i="16"/>
  <c r="V58" i="16"/>
  <c r="V59" i="16"/>
  <c r="K59" i="16" s="1"/>
  <c r="K35" i="16"/>
  <c r="L54" i="16"/>
  <c r="F15" i="16"/>
  <c r="F16" i="16"/>
  <c r="F18" i="16"/>
  <c r="Q20" i="16"/>
  <c r="F20" i="16" s="1"/>
  <c r="F28" i="16" s="1"/>
  <c r="F21" i="16"/>
  <c r="F29" i="16" s="1"/>
  <c r="F22" i="16"/>
  <c r="F35" i="16"/>
  <c r="F45" i="16"/>
  <c r="Q58" i="16"/>
  <c r="Q59" i="16"/>
  <c r="F59" i="16" s="1"/>
  <c r="G15" i="16"/>
  <c r="G16" i="16"/>
  <c r="R20" i="16"/>
  <c r="G20" i="16" s="1"/>
  <c r="G28" i="16" s="1"/>
  <c r="G21" i="16"/>
  <c r="G29" i="16"/>
  <c r="G22" i="16"/>
  <c r="G35" i="16"/>
  <c r="G45" i="16"/>
  <c r="R58" i="16"/>
  <c r="R59" i="16"/>
  <c r="G59" i="16" s="1"/>
  <c r="H15" i="16"/>
  <c r="H16" i="16"/>
  <c r="H20" i="16"/>
  <c r="H28" i="16" s="1"/>
  <c r="H21" i="16"/>
  <c r="H29" i="16"/>
  <c r="H22" i="16"/>
  <c r="H35" i="16"/>
  <c r="H45" i="16"/>
  <c r="S58" i="16"/>
  <c r="H58" i="16"/>
  <c r="S59" i="16"/>
  <c r="H59" i="16" s="1"/>
  <c r="I15" i="16"/>
  <c r="I16" i="16"/>
  <c r="I20" i="16"/>
  <c r="I28" i="16" s="1"/>
  <c r="I21" i="16"/>
  <c r="I29" i="16" s="1"/>
  <c r="I22" i="16"/>
  <c r="I35" i="16"/>
  <c r="I45" i="16"/>
  <c r="T58" i="16"/>
  <c r="I58" i="16" s="1"/>
  <c r="T59" i="16"/>
  <c r="I59" i="16" s="1"/>
  <c r="E15" i="16"/>
  <c r="E16" i="16"/>
  <c r="E26" i="16" s="1"/>
  <c r="E18" i="16"/>
  <c r="E19" i="16"/>
  <c r="E20" i="16"/>
  <c r="E28" i="16" s="1"/>
  <c r="E21" i="16"/>
  <c r="E29" i="16" s="1"/>
  <c r="E22" i="16"/>
  <c r="E35" i="16"/>
  <c r="E45" i="16"/>
  <c r="P58" i="16"/>
  <c r="E58" i="16" s="1"/>
  <c r="P59" i="16"/>
  <c r="E59" i="16"/>
  <c r="E38" i="16"/>
  <c r="L70" i="16"/>
  <c r="L71" i="16"/>
  <c r="L72" i="16"/>
  <c r="L73" i="16"/>
  <c r="K85" i="16"/>
  <c r="K84" i="16"/>
  <c r="K83" i="16"/>
  <c r="K82" i="16"/>
  <c r="K80" i="16"/>
  <c r="K79" i="16"/>
  <c r="I85" i="16"/>
  <c r="I84" i="16"/>
  <c r="I83" i="16"/>
  <c r="I82" i="16"/>
  <c r="I80" i="16"/>
  <c r="I79" i="16"/>
  <c r="H85" i="16"/>
  <c r="H84" i="16"/>
  <c r="H83" i="16"/>
  <c r="H82" i="16"/>
  <c r="H80" i="16"/>
  <c r="H79" i="16"/>
  <c r="J85" i="16"/>
  <c r="J84" i="16"/>
  <c r="J83" i="16"/>
  <c r="J82" i="16"/>
  <c r="J80" i="16"/>
  <c r="J79" i="16"/>
  <c r="G85" i="16"/>
  <c r="G84" i="16"/>
  <c r="G83" i="16"/>
  <c r="G82" i="16"/>
  <c r="G80" i="16"/>
  <c r="G79" i="16"/>
  <c r="F85" i="16"/>
  <c r="F84" i="16"/>
  <c r="F83" i="16"/>
  <c r="F82" i="16"/>
  <c r="F80" i="16"/>
  <c r="F79" i="16"/>
  <c r="E85" i="16"/>
  <c r="E84" i="16"/>
  <c r="E83" i="16"/>
  <c r="E82" i="16"/>
  <c r="L82" i="16" s="1"/>
  <c r="E80" i="16"/>
  <c r="E79" i="16"/>
  <c r="E81" i="16"/>
  <c r="L81" i="16" s="1"/>
  <c r="J38" i="16"/>
  <c r="K38" i="16"/>
  <c r="L53" i="16"/>
  <c r="L52" i="16"/>
  <c r="L51" i="16"/>
  <c r="L50" i="16"/>
  <c r="L49" i="16"/>
  <c r="L48" i="16"/>
  <c r="L47" i="16"/>
  <c r="L44" i="16"/>
  <c r="L43" i="16"/>
  <c r="L42" i="16"/>
  <c r="L41" i="16"/>
  <c r="L40" i="16"/>
  <c r="F38" i="16"/>
  <c r="G38" i="16"/>
  <c r="H38" i="16"/>
  <c r="I38" i="16"/>
  <c r="L36" i="16"/>
  <c r="L34" i="16"/>
  <c r="L33" i="16"/>
  <c r="G26" i="10"/>
  <c r="H26" i="10"/>
  <c r="K26" i="10" s="1"/>
  <c r="K35" i="10" s="1"/>
  <c r="E14" i="1"/>
  <c r="E15" i="1"/>
  <c r="M16" i="1"/>
  <c r="I16" i="1" s="1"/>
  <c r="M17" i="1"/>
  <c r="E17" i="1" s="1"/>
  <c r="M18" i="1"/>
  <c r="E18" i="1" s="1"/>
  <c r="N19" i="1"/>
  <c r="E19" i="1"/>
  <c r="E27" i="1" s="1"/>
  <c r="E20" i="1"/>
  <c r="E28" i="1" s="1"/>
  <c r="E21" i="1"/>
  <c r="E34" i="1"/>
  <c r="E44" i="1"/>
  <c r="N52" i="1"/>
  <c r="M52" i="1"/>
  <c r="N53" i="1"/>
  <c r="E53" i="1" s="1"/>
  <c r="E37" i="1"/>
  <c r="E77" i="15"/>
  <c r="E50" i="15" s="1"/>
  <c r="F77" i="15"/>
  <c r="F79" i="15" s="1"/>
  <c r="G77" i="15"/>
  <c r="G50" i="15" s="1"/>
  <c r="E78" i="15"/>
  <c r="F78" i="15"/>
  <c r="G78" i="15"/>
  <c r="G79" i="15" s="1"/>
  <c r="E14" i="15"/>
  <c r="E15" i="15"/>
  <c r="K16" i="15"/>
  <c r="E16" i="15" s="1"/>
  <c r="K17" i="15"/>
  <c r="G17" i="15" s="1"/>
  <c r="K18" i="15"/>
  <c r="E18" i="15" s="1"/>
  <c r="E19" i="15"/>
  <c r="E27" i="15" s="1"/>
  <c r="E20" i="15"/>
  <c r="E28" i="15" s="1"/>
  <c r="E21" i="15"/>
  <c r="E34" i="15"/>
  <c r="E44" i="15"/>
  <c r="L57" i="15"/>
  <c r="K57" i="15"/>
  <c r="L58" i="15"/>
  <c r="E58" i="15" s="1"/>
  <c r="E37" i="15"/>
  <c r="F14" i="15"/>
  <c r="F25" i="15" s="1"/>
  <c r="F15" i="15"/>
  <c r="F19" i="15"/>
  <c r="F27" i="15" s="1"/>
  <c r="F20" i="15"/>
  <c r="F28" i="15" s="1"/>
  <c r="F21" i="15"/>
  <c r="F34" i="15"/>
  <c r="F44" i="15"/>
  <c r="F51" i="15"/>
  <c r="M57" i="15"/>
  <c r="M58" i="15"/>
  <c r="F58" i="15" s="1"/>
  <c r="G14" i="15"/>
  <c r="G15" i="15"/>
  <c r="G19" i="15"/>
  <c r="G27" i="15" s="1"/>
  <c r="G20" i="15"/>
  <c r="G28" i="15" s="1"/>
  <c r="G21" i="15"/>
  <c r="G34" i="15"/>
  <c r="H34" i="15" s="1"/>
  <c r="G44" i="15"/>
  <c r="N57" i="15"/>
  <c r="N58" i="15"/>
  <c r="G58" i="15" s="1"/>
  <c r="H74" i="15"/>
  <c r="H75" i="15"/>
  <c r="H49" i="15"/>
  <c r="H48" i="15"/>
  <c r="H47" i="15"/>
  <c r="H43" i="15"/>
  <c r="H42" i="15"/>
  <c r="H41" i="15"/>
  <c r="H40" i="15"/>
  <c r="H39" i="15"/>
  <c r="F37" i="15"/>
  <c r="G37" i="15"/>
  <c r="H35" i="15"/>
  <c r="H33" i="15"/>
  <c r="H32" i="15"/>
  <c r="G14" i="14"/>
  <c r="G15" i="14"/>
  <c r="P19" i="14"/>
  <c r="G19" i="14" s="1"/>
  <c r="G27" i="14" s="1"/>
  <c r="G20" i="14"/>
  <c r="G28" i="14" s="1"/>
  <c r="G21" i="14"/>
  <c r="G34" i="14"/>
  <c r="G44" i="14"/>
  <c r="P57" i="14"/>
  <c r="G57" i="14" s="1"/>
  <c r="P58" i="14"/>
  <c r="G58" i="14" s="1"/>
  <c r="H14" i="14"/>
  <c r="H15" i="14"/>
  <c r="H17" i="14"/>
  <c r="Q19" i="14"/>
  <c r="H19" i="14" s="1"/>
  <c r="H27" i="14" s="1"/>
  <c r="H20" i="14"/>
  <c r="H28" i="14" s="1"/>
  <c r="H21" i="14"/>
  <c r="H34" i="14"/>
  <c r="H44" i="14"/>
  <c r="Q57" i="14"/>
  <c r="H57" i="14" s="1"/>
  <c r="Q58" i="14"/>
  <c r="H58" i="14" s="1"/>
  <c r="I14" i="14"/>
  <c r="I25" i="14" s="1"/>
  <c r="I15" i="14"/>
  <c r="R19" i="14"/>
  <c r="I19" i="14" s="1"/>
  <c r="I27" i="14" s="1"/>
  <c r="I20" i="14"/>
  <c r="I28" i="14" s="1"/>
  <c r="I21" i="14"/>
  <c r="I34" i="14"/>
  <c r="I44" i="14"/>
  <c r="R57" i="14"/>
  <c r="I57" i="14" s="1"/>
  <c r="R58" i="14"/>
  <c r="I58" i="14" s="1"/>
  <c r="F14" i="14"/>
  <c r="F15" i="14"/>
  <c r="F16" i="14"/>
  <c r="O19" i="14"/>
  <c r="F19" i="14" s="1"/>
  <c r="F20" i="14"/>
  <c r="F28" i="14" s="1"/>
  <c r="F21" i="14"/>
  <c r="F34" i="14"/>
  <c r="F44" i="14"/>
  <c r="O57" i="14"/>
  <c r="F57" i="14" s="1"/>
  <c r="O58" i="14"/>
  <c r="F58" i="14" s="1"/>
  <c r="E14" i="14"/>
  <c r="E15" i="14"/>
  <c r="E16" i="14"/>
  <c r="N19" i="14"/>
  <c r="E19" i="14" s="1"/>
  <c r="E27" i="14" s="1"/>
  <c r="E20" i="14"/>
  <c r="E28" i="14" s="1"/>
  <c r="E21" i="14"/>
  <c r="E34" i="14"/>
  <c r="E44" i="14"/>
  <c r="N57" i="14"/>
  <c r="E57" i="14" s="1"/>
  <c r="N58" i="14"/>
  <c r="E58" i="14" s="1"/>
  <c r="E37" i="14"/>
  <c r="F14" i="1"/>
  <c r="F15" i="1"/>
  <c r="O19" i="1"/>
  <c r="F19" i="1" s="1"/>
  <c r="F20" i="1"/>
  <c r="F28" i="1" s="1"/>
  <c r="F21" i="1"/>
  <c r="F34" i="1"/>
  <c r="F44" i="1"/>
  <c r="O52" i="1"/>
  <c r="O53" i="1"/>
  <c r="F53" i="1" s="1"/>
  <c r="E69" i="14"/>
  <c r="E70" i="14"/>
  <c r="E71" i="14"/>
  <c r="F69" i="14"/>
  <c r="F70" i="14"/>
  <c r="F71" i="14"/>
  <c r="G69" i="14"/>
  <c r="J69" i="14" s="1"/>
  <c r="G70" i="14"/>
  <c r="G71" i="14"/>
  <c r="H69" i="14"/>
  <c r="H70" i="14"/>
  <c r="H71" i="14"/>
  <c r="I69" i="14"/>
  <c r="I70" i="14"/>
  <c r="I71" i="14"/>
  <c r="J50" i="14"/>
  <c r="J51" i="14"/>
  <c r="J52" i="14"/>
  <c r="J49" i="14"/>
  <c r="J48" i="14"/>
  <c r="J47" i="14"/>
  <c r="J43" i="14"/>
  <c r="J42" i="14"/>
  <c r="J41" i="14"/>
  <c r="J40" i="14"/>
  <c r="J39" i="14"/>
  <c r="F37" i="14"/>
  <c r="G37" i="14"/>
  <c r="H37" i="14"/>
  <c r="I37" i="14"/>
  <c r="J35" i="14"/>
  <c r="J33" i="14"/>
  <c r="J32" i="14"/>
  <c r="P52" i="1"/>
  <c r="P53" i="1"/>
  <c r="G53" i="1" s="1"/>
  <c r="Q52" i="1"/>
  <c r="H52" i="1" s="1"/>
  <c r="Q53" i="1"/>
  <c r="H53" i="1" s="1"/>
  <c r="R52" i="1"/>
  <c r="R53" i="1"/>
  <c r="I53" i="1" s="1"/>
  <c r="G18" i="12"/>
  <c r="G12" i="12"/>
  <c r="E13" i="13"/>
  <c r="J7" i="13"/>
  <c r="H18" i="1"/>
  <c r="D12" i="12"/>
  <c r="K34" i="10"/>
  <c r="G14" i="1"/>
  <c r="G15" i="1"/>
  <c r="P19" i="1"/>
  <c r="G19" i="1" s="1"/>
  <c r="G27" i="1" s="1"/>
  <c r="G20" i="1"/>
  <c r="G28" i="1" s="1"/>
  <c r="G21" i="1"/>
  <c r="H14" i="1"/>
  <c r="H15" i="1"/>
  <c r="Q19" i="1"/>
  <c r="H19" i="1" s="1"/>
  <c r="H27" i="1" s="1"/>
  <c r="H20" i="1"/>
  <c r="H28" i="1" s="1"/>
  <c r="H21" i="1"/>
  <c r="I14" i="1"/>
  <c r="I15" i="1"/>
  <c r="R19" i="1"/>
  <c r="I19" i="1" s="1"/>
  <c r="I27" i="1" s="1"/>
  <c r="I20" i="1"/>
  <c r="I28" i="1" s="1"/>
  <c r="I21" i="1"/>
  <c r="G34" i="1"/>
  <c r="G44" i="1"/>
  <c r="H34" i="1"/>
  <c r="H44" i="1"/>
  <c r="I34" i="1"/>
  <c r="I44" i="1"/>
  <c r="F5" i="10"/>
  <c r="G5" i="10"/>
  <c r="F6" i="10"/>
  <c r="H6" i="10" s="1"/>
  <c r="G6" i="10"/>
  <c r="F7" i="10"/>
  <c r="G7" i="10"/>
  <c r="F8" i="10"/>
  <c r="G8" i="10"/>
  <c r="H8" i="10"/>
  <c r="F9" i="10"/>
  <c r="G9" i="10"/>
  <c r="H10" i="10"/>
  <c r="E11" i="10"/>
  <c r="G3" i="10"/>
  <c r="F3" i="10"/>
  <c r="E3" i="10"/>
  <c r="J33" i="1"/>
  <c r="F37" i="1"/>
  <c r="G37" i="1"/>
  <c r="H37" i="1"/>
  <c r="I37" i="1"/>
  <c r="J32" i="1"/>
  <c r="J35" i="1"/>
  <c r="J13" i="1"/>
  <c r="J38" i="1"/>
  <c r="J39" i="1"/>
  <c r="J41" i="1"/>
  <c r="J42" i="1"/>
  <c r="J43" i="1"/>
  <c r="J47" i="1"/>
  <c r="J48" i="1"/>
  <c r="J49" i="1"/>
  <c r="J50" i="1"/>
  <c r="H9" i="10" l="1"/>
  <c r="G11" i="10"/>
  <c r="H5" i="10"/>
  <c r="H11" i="10" s="1"/>
  <c r="F11" i="10"/>
  <c r="H51" i="17"/>
  <c r="H53" i="17" s="1"/>
  <c r="J15" i="17"/>
  <c r="L71" i="17"/>
  <c r="J14" i="17"/>
  <c r="J11" i="17"/>
  <c r="J8" i="17"/>
  <c r="J33" i="17"/>
  <c r="J9" i="17"/>
  <c r="J20" i="17"/>
  <c r="F65" i="17"/>
  <c r="E65" i="17"/>
  <c r="J52" i="17"/>
  <c r="G24" i="17"/>
  <c r="F24" i="17"/>
  <c r="M68" i="17"/>
  <c r="M71" i="17" s="1"/>
  <c r="J10" i="17"/>
  <c r="J63" i="17"/>
  <c r="J17" i="17"/>
  <c r="G18" i="1"/>
  <c r="G18" i="15"/>
  <c r="E25" i="1"/>
  <c r="I17" i="18"/>
  <c r="I27" i="18" s="1"/>
  <c r="J85" i="18"/>
  <c r="F26" i="18"/>
  <c r="G58" i="18"/>
  <c r="G60" i="18" s="1"/>
  <c r="F25" i="1"/>
  <c r="G26" i="18"/>
  <c r="H58" i="18"/>
  <c r="H60" i="18" s="1"/>
  <c r="G51" i="15"/>
  <c r="G55" i="15" s="1"/>
  <c r="F50" i="15"/>
  <c r="F55" i="15" s="1"/>
  <c r="H26" i="18"/>
  <c r="Q53" i="18"/>
  <c r="I58" i="18"/>
  <c r="I26" i="18"/>
  <c r="J45" i="18"/>
  <c r="L58" i="18"/>
  <c r="J35" i="18"/>
  <c r="H18" i="14"/>
  <c r="M26" i="18"/>
  <c r="N58" i="18"/>
  <c r="N60" i="18" s="1"/>
  <c r="J71" i="14"/>
  <c r="Q15" i="18"/>
  <c r="I18" i="1"/>
  <c r="J21" i="14"/>
  <c r="N26" i="18"/>
  <c r="J20" i="18"/>
  <c r="Q72" i="18"/>
  <c r="H17" i="18"/>
  <c r="H27" i="18" s="1"/>
  <c r="P60" i="18"/>
  <c r="E7" i="18"/>
  <c r="E18" i="18"/>
  <c r="Q20" i="18"/>
  <c r="Q73" i="18"/>
  <c r="I7" i="18"/>
  <c r="F18" i="18"/>
  <c r="I18" i="18"/>
  <c r="I60" i="18"/>
  <c r="Q12" i="18"/>
  <c r="N18" i="18"/>
  <c r="O18" i="18"/>
  <c r="M58" i="18"/>
  <c r="M60" i="18" s="1"/>
  <c r="C84" i="15"/>
  <c r="H28" i="15"/>
  <c r="G16" i="15"/>
  <c r="G26" i="15" s="1"/>
  <c r="G25" i="15"/>
  <c r="F18" i="15"/>
  <c r="F16" i="15"/>
  <c r="H9" i="15"/>
  <c r="H78" i="15"/>
  <c r="H21" i="15"/>
  <c r="E57" i="15"/>
  <c r="H11" i="15"/>
  <c r="F59" i="14"/>
  <c r="J14" i="14"/>
  <c r="J59" i="18"/>
  <c r="Q54" i="18"/>
  <c r="M17" i="18"/>
  <c r="M27" i="18" s="1"/>
  <c r="Q22" i="18"/>
  <c r="J38" i="18"/>
  <c r="J9" i="18"/>
  <c r="Q11" i="18"/>
  <c r="N17" i="18"/>
  <c r="N27" i="18" s="1"/>
  <c r="E19" i="18"/>
  <c r="E28" i="18" s="1"/>
  <c r="Q45" i="18"/>
  <c r="J10" i="18"/>
  <c r="J70" i="18"/>
  <c r="O17" i="18"/>
  <c r="O27" i="18" s="1"/>
  <c r="H19" i="18"/>
  <c r="H28" i="18" s="1"/>
  <c r="Q21" i="18"/>
  <c r="O58" i="18"/>
  <c r="J11" i="18"/>
  <c r="J21" i="18"/>
  <c r="L26" i="18"/>
  <c r="L17" i="18"/>
  <c r="L27" i="18" s="1"/>
  <c r="Q10" i="18"/>
  <c r="P26" i="18"/>
  <c r="P17" i="18"/>
  <c r="P27" i="18" s="1"/>
  <c r="M19" i="18"/>
  <c r="M28" i="18" s="1"/>
  <c r="Q70" i="18"/>
  <c r="J73" i="18"/>
  <c r="Q9" i="18"/>
  <c r="E17" i="18"/>
  <c r="Q38" i="18"/>
  <c r="Q71" i="18"/>
  <c r="E58" i="18"/>
  <c r="J72" i="18"/>
  <c r="J15" i="18"/>
  <c r="J16" i="18"/>
  <c r="F17" i="18"/>
  <c r="F27" i="18" s="1"/>
  <c r="J22" i="18"/>
  <c r="Q52" i="18"/>
  <c r="F58" i="18"/>
  <c r="F60" i="18" s="1"/>
  <c r="J12" i="18"/>
  <c r="G18" i="18"/>
  <c r="Q35" i="18"/>
  <c r="J71" i="18"/>
  <c r="J58" i="16"/>
  <c r="J60" i="16" s="1"/>
  <c r="L21" i="16"/>
  <c r="H60" i="16"/>
  <c r="L22" i="16"/>
  <c r="F17" i="16"/>
  <c r="F26" i="16"/>
  <c r="E60" i="16"/>
  <c r="L84" i="16"/>
  <c r="E17" i="16"/>
  <c r="E27" i="16" s="1"/>
  <c r="H26" i="16"/>
  <c r="K17" i="16"/>
  <c r="P8" i="18"/>
  <c r="P13" i="18" s="1"/>
  <c r="O8" i="18"/>
  <c r="N8" i="18"/>
  <c r="M8" i="18"/>
  <c r="I8" i="18"/>
  <c r="L8" i="18"/>
  <c r="G8" i="18"/>
  <c r="F8" i="18"/>
  <c r="E8" i="18"/>
  <c r="H8" i="18"/>
  <c r="Q59" i="18"/>
  <c r="Q16" i="18"/>
  <c r="F7" i="18"/>
  <c r="I19" i="18"/>
  <c r="I28" i="18" s="1"/>
  <c r="G7" i="18"/>
  <c r="L18" i="18"/>
  <c r="E26" i="18"/>
  <c r="E29" i="18"/>
  <c r="J29" i="18" s="1"/>
  <c r="H7" i="18"/>
  <c r="M18" i="18"/>
  <c r="L19" i="18"/>
  <c r="L7" i="18"/>
  <c r="O19" i="18"/>
  <c r="O28" i="18" s="1"/>
  <c r="Q51" i="18"/>
  <c r="M7" i="18"/>
  <c r="P19" i="18"/>
  <c r="P28" i="18" s="1"/>
  <c r="J56" i="18"/>
  <c r="N7" i="18"/>
  <c r="N13" i="18" s="1"/>
  <c r="L29" i="18"/>
  <c r="Q29" i="18" s="1"/>
  <c r="L56" i="18"/>
  <c r="O7" i="18"/>
  <c r="F19" i="18"/>
  <c r="F28" i="18" s="1"/>
  <c r="F53" i="17"/>
  <c r="J51" i="17"/>
  <c r="J24" i="17"/>
  <c r="E53" i="17"/>
  <c r="J53" i="17" s="1"/>
  <c r="J27" i="17"/>
  <c r="H12" i="17"/>
  <c r="X7" i="17"/>
  <c r="J71" i="17"/>
  <c r="H16" i="17"/>
  <c r="H25" i="17" s="1"/>
  <c r="J26" i="17"/>
  <c r="J19" i="17"/>
  <c r="I7" i="17"/>
  <c r="I16" i="17"/>
  <c r="I25" i="17" s="1"/>
  <c r="E7" i="17"/>
  <c r="F7" i="17"/>
  <c r="F16" i="17"/>
  <c r="F25" i="17" s="1"/>
  <c r="E16" i="17"/>
  <c r="G7" i="17"/>
  <c r="L45" i="16"/>
  <c r="H27" i="15"/>
  <c r="J86" i="16"/>
  <c r="L38" i="16"/>
  <c r="L35" i="16"/>
  <c r="H86" i="16"/>
  <c r="L80" i="16"/>
  <c r="L16" i="16"/>
  <c r="I17" i="16"/>
  <c r="H18" i="16"/>
  <c r="K18" i="16"/>
  <c r="G9" i="16"/>
  <c r="H17" i="16"/>
  <c r="H27" i="16" s="1"/>
  <c r="K58" i="16"/>
  <c r="K60" i="16" s="1"/>
  <c r="I60" i="16"/>
  <c r="L59" i="16"/>
  <c r="L83" i="16"/>
  <c r="I26" i="16"/>
  <c r="G18" i="16"/>
  <c r="J19" i="16"/>
  <c r="L15" i="16"/>
  <c r="L85" i="16"/>
  <c r="I86" i="16"/>
  <c r="E86" i="16"/>
  <c r="G86" i="16"/>
  <c r="K86" i="16"/>
  <c r="I18" i="16"/>
  <c r="I27" i="16" s="1"/>
  <c r="G17" i="16"/>
  <c r="L29" i="16"/>
  <c r="G26" i="16"/>
  <c r="F86" i="16"/>
  <c r="L56" i="16"/>
  <c r="J27" i="16"/>
  <c r="K26" i="16"/>
  <c r="L28" i="16"/>
  <c r="L79" i="16"/>
  <c r="F19" i="16"/>
  <c r="E8" i="16"/>
  <c r="L10" i="16"/>
  <c r="K8" i="16"/>
  <c r="I19" i="16"/>
  <c r="F58" i="16"/>
  <c r="F60" i="16" s="1"/>
  <c r="F8" i="16"/>
  <c r="Z8" i="16" s="1"/>
  <c r="K9" i="16"/>
  <c r="L20" i="16"/>
  <c r="K19" i="16"/>
  <c r="G8" i="16"/>
  <c r="AA8" i="16" s="1"/>
  <c r="H9" i="16"/>
  <c r="H8" i="16"/>
  <c r="AB8" i="16" s="1"/>
  <c r="G19" i="16"/>
  <c r="E9" i="16"/>
  <c r="J9" i="16" s="1"/>
  <c r="G58" i="16"/>
  <c r="G60" i="16" s="1"/>
  <c r="L12" i="16"/>
  <c r="J11" i="16"/>
  <c r="L11" i="16" s="1"/>
  <c r="I9" i="16"/>
  <c r="I13" i="16" s="1"/>
  <c r="F17" i="15"/>
  <c r="H18" i="15"/>
  <c r="E17" i="15"/>
  <c r="H17" i="15" s="1"/>
  <c r="H37" i="15"/>
  <c r="G57" i="15"/>
  <c r="H15" i="15"/>
  <c r="H14" i="15"/>
  <c r="H50" i="15"/>
  <c r="H58" i="15"/>
  <c r="G12" i="15"/>
  <c r="S7" i="15"/>
  <c r="H77" i="15"/>
  <c r="E7" i="15"/>
  <c r="F7" i="15"/>
  <c r="H19" i="15"/>
  <c r="H20" i="15"/>
  <c r="E25" i="15"/>
  <c r="H25" i="15" s="1"/>
  <c r="F57" i="15"/>
  <c r="F59" i="15" s="1"/>
  <c r="E79" i="15"/>
  <c r="E51" i="15"/>
  <c r="H44" i="15"/>
  <c r="J58" i="14"/>
  <c r="F25" i="14"/>
  <c r="I16" i="14"/>
  <c r="J37" i="14"/>
  <c r="J9" i="14"/>
  <c r="J44" i="14"/>
  <c r="J34" i="14"/>
  <c r="I59" i="14"/>
  <c r="H16" i="14"/>
  <c r="H25" i="14"/>
  <c r="G25" i="14"/>
  <c r="H59" i="14"/>
  <c r="I7" i="14"/>
  <c r="Y7" i="14" s="1"/>
  <c r="H7" i="14"/>
  <c r="X7" i="14" s="1"/>
  <c r="G59" i="14"/>
  <c r="E25" i="14"/>
  <c r="J70" i="14"/>
  <c r="J15" i="14"/>
  <c r="J57" i="14"/>
  <c r="E59" i="14"/>
  <c r="F27" i="14"/>
  <c r="J27" i="14" s="1"/>
  <c r="J19" i="14"/>
  <c r="J28" i="14"/>
  <c r="U7" i="14"/>
  <c r="I17" i="14"/>
  <c r="J10" i="14"/>
  <c r="E12" i="14"/>
  <c r="E24" i="14" s="1"/>
  <c r="F18" i="14"/>
  <c r="G7" i="14"/>
  <c r="W7" i="14" s="1"/>
  <c r="F17" i="14"/>
  <c r="F7" i="14"/>
  <c r="V7" i="14" s="1"/>
  <c r="J20" i="14"/>
  <c r="E18" i="14"/>
  <c r="G18" i="14"/>
  <c r="G26" i="14" s="1"/>
  <c r="E17" i="14"/>
  <c r="J11" i="14"/>
  <c r="H12" i="14"/>
  <c r="H24" i="14" s="1"/>
  <c r="J8" i="14"/>
  <c r="J37" i="1"/>
  <c r="E52" i="1"/>
  <c r="F17" i="1"/>
  <c r="H25" i="1"/>
  <c r="H17" i="1"/>
  <c r="J11" i="1"/>
  <c r="J20" i="1"/>
  <c r="G17" i="1"/>
  <c r="J9" i="1"/>
  <c r="G25" i="1"/>
  <c r="I25" i="1"/>
  <c r="H7" i="1"/>
  <c r="X7" i="1" s="1"/>
  <c r="I52" i="1"/>
  <c r="I54" i="1" s="1"/>
  <c r="J21" i="1"/>
  <c r="H54" i="1"/>
  <c r="J19" i="1"/>
  <c r="F7" i="1"/>
  <c r="V7" i="1" s="1"/>
  <c r="J10" i="1"/>
  <c r="G52" i="1"/>
  <c r="G54" i="1" s="1"/>
  <c r="F18" i="1"/>
  <c r="J18" i="1" s="1"/>
  <c r="J53" i="1"/>
  <c r="G7" i="1"/>
  <c r="W7" i="1" s="1"/>
  <c r="J15" i="1"/>
  <c r="I7" i="1"/>
  <c r="J14" i="1"/>
  <c r="F52" i="1"/>
  <c r="F54" i="1" s="1"/>
  <c r="U7" i="1"/>
  <c r="E54" i="1"/>
  <c r="F12" i="1"/>
  <c r="H16" i="1"/>
  <c r="F27" i="1"/>
  <c r="J27" i="1" s="1"/>
  <c r="J34" i="1"/>
  <c r="E16" i="1"/>
  <c r="J8" i="1"/>
  <c r="J44" i="1"/>
  <c r="G16" i="1"/>
  <c r="F16" i="1"/>
  <c r="J28" i="1"/>
  <c r="I17" i="1"/>
  <c r="E12" i="1"/>
  <c r="J58" i="18" l="1"/>
  <c r="E26" i="15"/>
  <c r="H51" i="15"/>
  <c r="E55" i="15"/>
  <c r="O13" i="18"/>
  <c r="O25" i="18" s="1"/>
  <c r="O30" i="18" s="1"/>
  <c r="O31" i="18" s="1"/>
  <c r="O61" i="18" s="1"/>
  <c r="J26" i="18"/>
  <c r="F26" i="14"/>
  <c r="H79" i="15"/>
  <c r="H91" i="15" s="1"/>
  <c r="J18" i="18"/>
  <c r="H16" i="15"/>
  <c r="J25" i="1"/>
  <c r="I13" i="18"/>
  <c r="I25" i="18" s="1"/>
  <c r="I30" i="18" s="1"/>
  <c r="I31" i="18" s="1"/>
  <c r="I61" i="18" s="1"/>
  <c r="L86" i="16"/>
  <c r="Q27" i="18"/>
  <c r="M13" i="18"/>
  <c r="M23" i="18" s="1"/>
  <c r="Q26" i="18"/>
  <c r="Q17" i="18"/>
  <c r="Q58" i="18"/>
  <c r="G59" i="15"/>
  <c r="F26" i="15"/>
  <c r="H26" i="15" s="1"/>
  <c r="J59" i="14"/>
  <c r="J16" i="14"/>
  <c r="I26" i="14"/>
  <c r="F12" i="14"/>
  <c r="F24" i="14" s="1"/>
  <c r="G13" i="18"/>
  <c r="G23" i="18" s="1"/>
  <c r="E27" i="18"/>
  <c r="J27" i="18" s="1"/>
  <c r="J17" i="18"/>
  <c r="J28" i="18"/>
  <c r="E60" i="18"/>
  <c r="J60" i="18" s="1"/>
  <c r="O60" i="18"/>
  <c r="L26" i="16"/>
  <c r="F13" i="16"/>
  <c r="F25" i="16" s="1"/>
  <c r="F30" i="16" s="1"/>
  <c r="G27" i="16"/>
  <c r="F27" i="16"/>
  <c r="L18" i="16"/>
  <c r="M25" i="18"/>
  <c r="M30" i="18" s="1"/>
  <c r="M31" i="18" s="1"/>
  <c r="M61" i="18" s="1"/>
  <c r="P25" i="18"/>
  <c r="P30" i="18" s="1"/>
  <c r="P31" i="18" s="1"/>
  <c r="P61" i="18" s="1"/>
  <c r="P23" i="18"/>
  <c r="J7" i="18"/>
  <c r="F13" i="18"/>
  <c r="I23" i="18"/>
  <c r="L28" i="18"/>
  <c r="Q28" i="18" s="1"/>
  <c r="Q19" i="18"/>
  <c r="Q56" i="18"/>
  <c r="L60" i="18"/>
  <c r="H13" i="18"/>
  <c r="Q8" i="18"/>
  <c r="Q7" i="18"/>
  <c r="L13" i="18"/>
  <c r="O23" i="18"/>
  <c r="J19" i="18"/>
  <c r="J8" i="18"/>
  <c r="E13" i="18"/>
  <c r="N25" i="18"/>
  <c r="N30" i="18" s="1"/>
  <c r="N31" i="18" s="1"/>
  <c r="N61" i="18" s="1"/>
  <c r="N23" i="18"/>
  <c r="Q18" i="18"/>
  <c r="U7" i="17"/>
  <c r="E12" i="17"/>
  <c r="J7" i="17"/>
  <c r="V7" i="17"/>
  <c r="F12" i="17"/>
  <c r="I12" i="17"/>
  <c r="Y7" i="17"/>
  <c r="G12" i="17"/>
  <c r="W7" i="17"/>
  <c r="H23" i="17"/>
  <c r="H28" i="17" s="1"/>
  <c r="H21" i="17"/>
  <c r="J16" i="17"/>
  <c r="E25" i="17"/>
  <c r="J25" i="17" s="1"/>
  <c r="J25" i="14"/>
  <c r="L60" i="16"/>
  <c r="L17" i="16"/>
  <c r="G13" i="16"/>
  <c r="G25" i="16" s="1"/>
  <c r="K27" i="16"/>
  <c r="K13" i="16"/>
  <c r="L19" i="16"/>
  <c r="E13" i="16"/>
  <c r="L9" i="16"/>
  <c r="Y8" i="16"/>
  <c r="J8" i="16"/>
  <c r="L8" i="16" s="1"/>
  <c r="H13" i="16"/>
  <c r="L58" i="16"/>
  <c r="I23" i="16"/>
  <c r="I25" i="16"/>
  <c r="I30" i="16" s="1"/>
  <c r="I31" i="16" s="1"/>
  <c r="I61" i="16" s="1"/>
  <c r="H57" i="15"/>
  <c r="R7" i="15"/>
  <c r="F12" i="15"/>
  <c r="E12" i="15"/>
  <c r="H7" i="15"/>
  <c r="T7" i="15" s="1"/>
  <c r="Q7" i="15"/>
  <c r="G22" i="15"/>
  <c r="G24" i="15"/>
  <c r="G29" i="15" s="1"/>
  <c r="G30" i="15" s="1"/>
  <c r="H26" i="14"/>
  <c r="H29" i="14" s="1"/>
  <c r="I12" i="14"/>
  <c r="I24" i="14" s="1"/>
  <c r="G12" i="14"/>
  <c r="G24" i="14" s="1"/>
  <c r="G29" i="14" s="1"/>
  <c r="J7" i="14"/>
  <c r="H22" i="14"/>
  <c r="E26" i="14"/>
  <c r="E29" i="14" s="1"/>
  <c r="J17" i="14"/>
  <c r="J18" i="14"/>
  <c r="E22" i="14"/>
  <c r="G12" i="1"/>
  <c r="G22" i="1" s="1"/>
  <c r="J17" i="1"/>
  <c r="F22" i="1"/>
  <c r="G26" i="1"/>
  <c r="H26" i="1"/>
  <c r="H12" i="1"/>
  <c r="Y7" i="1"/>
  <c r="I12" i="1"/>
  <c r="I24" i="1" s="1"/>
  <c r="J52" i="1"/>
  <c r="F26" i="1"/>
  <c r="J54" i="1"/>
  <c r="J7" i="1"/>
  <c r="G24" i="1"/>
  <c r="F24" i="1"/>
  <c r="I26" i="1"/>
  <c r="J16" i="1"/>
  <c r="E26" i="1"/>
  <c r="E22" i="1"/>
  <c r="E24" i="1"/>
  <c r="F29" i="14" l="1"/>
  <c r="F22" i="14"/>
  <c r="I29" i="14"/>
  <c r="F23" i="16"/>
  <c r="G25" i="18"/>
  <c r="G30" i="18" s="1"/>
  <c r="G31" i="18" s="1"/>
  <c r="G61" i="18" s="1"/>
  <c r="G62" i="18" s="1"/>
  <c r="G65" i="18" s="1"/>
  <c r="G66" i="18" s="1"/>
  <c r="G60" i="15"/>
  <c r="G73" i="15" s="1"/>
  <c r="G76" i="15" s="1"/>
  <c r="G80" i="15" s="1"/>
  <c r="Q60" i="18"/>
  <c r="L27" i="16"/>
  <c r="G30" i="16"/>
  <c r="N68" i="18"/>
  <c r="N62" i="18"/>
  <c r="N65" i="18" s="1"/>
  <c r="N66" i="18" s="1"/>
  <c r="J13" i="18"/>
  <c r="J23" i="18" s="1"/>
  <c r="E25" i="18"/>
  <c r="E23" i="18"/>
  <c r="I68" i="18"/>
  <c r="I74" i="18" s="1"/>
  <c r="I75" i="18" s="1"/>
  <c r="I62" i="18"/>
  <c r="I65" i="18" s="1"/>
  <c r="I66" i="18" s="1"/>
  <c r="P68" i="18"/>
  <c r="P74" i="18" s="1"/>
  <c r="P62" i="18"/>
  <c r="P65" i="18" s="1"/>
  <c r="P66" i="18" s="1"/>
  <c r="F25" i="18"/>
  <c r="F30" i="18" s="1"/>
  <c r="F31" i="18" s="1"/>
  <c r="F61" i="18" s="1"/>
  <c r="F23" i="18"/>
  <c r="M62" i="18"/>
  <c r="M65" i="18" s="1"/>
  <c r="M66" i="18" s="1"/>
  <c r="M68" i="18"/>
  <c r="O68" i="18"/>
  <c r="O74" i="18" s="1"/>
  <c r="O62" i="18"/>
  <c r="O65" i="18" s="1"/>
  <c r="O66" i="18" s="1"/>
  <c r="L25" i="18"/>
  <c r="L23" i="18"/>
  <c r="Q13" i="18"/>
  <c r="Q23" i="18" s="1"/>
  <c r="H23" i="18"/>
  <c r="H25" i="18"/>
  <c r="H30" i="18" s="1"/>
  <c r="H31" i="18" s="1"/>
  <c r="H61" i="18" s="1"/>
  <c r="H29" i="17"/>
  <c r="H54" i="17" s="1"/>
  <c r="H55" i="17" s="1"/>
  <c r="G23" i="17"/>
  <c r="G28" i="17" s="1"/>
  <c r="G29" i="17" s="1"/>
  <c r="G54" i="17" s="1"/>
  <c r="G55" i="17" s="1"/>
  <c r="G21" i="17"/>
  <c r="I23" i="17"/>
  <c r="I28" i="17" s="1"/>
  <c r="I21" i="17"/>
  <c r="F23" i="17"/>
  <c r="F28" i="17" s="1"/>
  <c r="F21" i="17"/>
  <c r="E23" i="17"/>
  <c r="J12" i="17"/>
  <c r="E21" i="17"/>
  <c r="G23" i="16"/>
  <c r="H30" i="14"/>
  <c r="H60" i="14" s="1"/>
  <c r="H67" i="14" s="1"/>
  <c r="H72" i="14" s="1"/>
  <c r="G22" i="14"/>
  <c r="G30" i="14"/>
  <c r="G60" i="14" s="1"/>
  <c r="G61" i="14" s="1"/>
  <c r="G64" i="14" s="1"/>
  <c r="G65" i="14" s="1"/>
  <c r="H25" i="16"/>
  <c r="H30" i="16" s="1"/>
  <c r="H23" i="16"/>
  <c r="J13" i="16"/>
  <c r="L13" i="16" s="1"/>
  <c r="E25" i="16"/>
  <c r="E30" i="16" s="1"/>
  <c r="E23" i="16"/>
  <c r="K25" i="16"/>
  <c r="K30" i="16" s="1"/>
  <c r="K23" i="16"/>
  <c r="I62" i="16"/>
  <c r="I65" i="16" s="1"/>
  <c r="I66" i="16" s="1"/>
  <c r="I68" i="16"/>
  <c r="I74" i="16" s="1"/>
  <c r="F31" i="16"/>
  <c r="F61" i="16" s="1"/>
  <c r="H55" i="15"/>
  <c r="E59" i="15"/>
  <c r="H59" i="15" s="1"/>
  <c r="F22" i="15"/>
  <c r="F24" i="15"/>
  <c r="F29" i="15" s="1"/>
  <c r="H12" i="15"/>
  <c r="E24" i="15"/>
  <c r="E22" i="15"/>
  <c r="J24" i="14"/>
  <c r="J12" i="14"/>
  <c r="I22" i="14"/>
  <c r="I30" i="14" s="1"/>
  <c r="I60" i="14" s="1"/>
  <c r="J26" i="14"/>
  <c r="J22" i="14"/>
  <c r="F30" i="14"/>
  <c r="F60" i="14" s="1"/>
  <c r="J29" i="14"/>
  <c r="E30" i="14"/>
  <c r="J12" i="1"/>
  <c r="I22" i="1"/>
  <c r="F29" i="1"/>
  <c r="F30" i="1" s="1"/>
  <c r="F55" i="1" s="1"/>
  <c r="F56" i="1" s="1"/>
  <c r="I29" i="1"/>
  <c r="G29" i="1"/>
  <c r="G30" i="1" s="1"/>
  <c r="G55" i="1" s="1"/>
  <c r="J26" i="1"/>
  <c r="H24" i="1"/>
  <c r="H29" i="1" s="1"/>
  <c r="H22" i="1"/>
  <c r="E29" i="1"/>
  <c r="P75" i="18" l="1"/>
  <c r="H22" i="15"/>
  <c r="G67" i="14"/>
  <c r="G72" i="14" s="1"/>
  <c r="F30" i="15"/>
  <c r="F60" i="15" s="1"/>
  <c r="F61" i="15" s="1"/>
  <c r="I30" i="1"/>
  <c r="I55" i="1" s="1"/>
  <c r="I56" i="1" s="1"/>
  <c r="H61" i="14"/>
  <c r="H64" i="14" s="1"/>
  <c r="H65" i="14" s="1"/>
  <c r="G56" i="1"/>
  <c r="G59" i="1" s="1"/>
  <c r="G60" i="1" s="1"/>
  <c r="K31" i="16"/>
  <c r="K61" i="16" s="1"/>
  <c r="K62" i="16" s="1"/>
  <c r="K65" i="16" s="1"/>
  <c r="K66" i="16" s="1"/>
  <c r="E31" i="16"/>
  <c r="H31" i="16"/>
  <c r="H61" i="16" s="1"/>
  <c r="H68" i="16" s="1"/>
  <c r="H74" i="16" s="1"/>
  <c r="G31" i="16"/>
  <c r="G61" i="16" s="1"/>
  <c r="G68" i="16" s="1"/>
  <c r="G74" i="16" s="1"/>
  <c r="N74" i="18"/>
  <c r="N81" i="18"/>
  <c r="N82" i="18"/>
  <c r="N79" i="18"/>
  <c r="N83" i="18"/>
  <c r="N80" i="18"/>
  <c r="N84" i="18"/>
  <c r="N78" i="18"/>
  <c r="M74" i="18"/>
  <c r="M82" i="18"/>
  <c r="M79" i="18"/>
  <c r="M83" i="18"/>
  <c r="M80" i="18"/>
  <c r="M84" i="18"/>
  <c r="M81" i="18"/>
  <c r="M78" i="18"/>
  <c r="G68" i="18"/>
  <c r="G74" i="18" s="1"/>
  <c r="G75" i="18" s="1"/>
  <c r="G61" i="15"/>
  <c r="G64" i="15" s="1"/>
  <c r="G65" i="15" s="1"/>
  <c r="H62" i="18"/>
  <c r="H65" i="18" s="1"/>
  <c r="H66" i="18" s="1"/>
  <c r="H68" i="18"/>
  <c r="H74" i="18" s="1"/>
  <c r="H75" i="18" s="1"/>
  <c r="F62" i="18"/>
  <c r="F65" i="18" s="1"/>
  <c r="F66" i="18" s="1"/>
  <c r="F68" i="18"/>
  <c r="F74" i="18" s="1"/>
  <c r="F75" i="18" s="1"/>
  <c r="J25" i="18"/>
  <c r="E30" i="18"/>
  <c r="L30" i="18"/>
  <c r="Q25" i="18"/>
  <c r="H59" i="17"/>
  <c r="H56" i="17"/>
  <c r="H57" i="17" s="1"/>
  <c r="H67" i="17" s="1"/>
  <c r="J21" i="17"/>
  <c r="E28" i="17"/>
  <c r="J23" i="17"/>
  <c r="F29" i="17"/>
  <c r="F54" i="17" s="1"/>
  <c r="F55" i="17" s="1"/>
  <c r="I29" i="17"/>
  <c r="I54" i="17" s="1"/>
  <c r="G56" i="17"/>
  <c r="G57" i="17" s="1"/>
  <c r="G67" i="17" s="1"/>
  <c r="G59" i="17"/>
  <c r="J24" i="1"/>
  <c r="J22" i="1"/>
  <c r="G62" i="16"/>
  <c r="G65" i="16" s="1"/>
  <c r="G66" i="16" s="1"/>
  <c r="J25" i="16"/>
  <c r="J23" i="16"/>
  <c r="L23" i="16" s="1"/>
  <c r="K68" i="16"/>
  <c r="K74" i="16" s="1"/>
  <c r="F68" i="16"/>
  <c r="F74" i="16" s="1"/>
  <c r="F62" i="16"/>
  <c r="F65" i="16" s="1"/>
  <c r="F66" i="16" s="1"/>
  <c r="E61" i="16"/>
  <c r="H24" i="15"/>
  <c r="E29" i="15"/>
  <c r="F73" i="15"/>
  <c r="F76" i="15" s="1"/>
  <c r="F80" i="15" s="1"/>
  <c r="I67" i="14"/>
  <c r="I72" i="14" s="1"/>
  <c r="I61" i="14"/>
  <c r="I64" i="14" s="1"/>
  <c r="I65" i="14" s="1"/>
  <c r="F67" i="14"/>
  <c r="F72" i="14" s="1"/>
  <c r="F61" i="14"/>
  <c r="F64" i="14" s="1"/>
  <c r="F65" i="14" s="1"/>
  <c r="E60" i="14"/>
  <c r="J30" i="14"/>
  <c r="I59" i="1"/>
  <c r="I60" i="1" s="1"/>
  <c r="F59" i="1"/>
  <c r="F60" i="1" s="1"/>
  <c r="H30" i="1"/>
  <c r="H55" i="1" s="1"/>
  <c r="H56" i="1" s="1"/>
  <c r="E30" i="1"/>
  <c r="J29" i="1"/>
  <c r="H62" i="16" l="1"/>
  <c r="H65" i="16" s="1"/>
  <c r="H66" i="16" s="1"/>
  <c r="D85" i="15"/>
  <c r="G85" i="15" s="1"/>
  <c r="G86" i="15" s="1"/>
  <c r="G87" i="15" s="1"/>
  <c r="M85" i="18"/>
  <c r="N75" i="18"/>
  <c r="O75" i="18"/>
  <c r="N85" i="18"/>
  <c r="M75" i="18"/>
  <c r="J30" i="18"/>
  <c r="E31" i="18"/>
  <c r="L31" i="18"/>
  <c r="Q30" i="18"/>
  <c r="F56" i="17"/>
  <c r="F57" i="17" s="1"/>
  <c r="F67" i="17" s="1"/>
  <c r="F59" i="17"/>
  <c r="I55" i="17"/>
  <c r="I56" i="17" s="1"/>
  <c r="I57" i="17" s="1"/>
  <c r="I62" i="17"/>
  <c r="J28" i="17"/>
  <c r="E29" i="17"/>
  <c r="J30" i="16"/>
  <c r="L25" i="16"/>
  <c r="E68" i="16"/>
  <c r="E62" i="16"/>
  <c r="F64" i="15"/>
  <c r="D84" i="15"/>
  <c r="F84" i="15" s="1"/>
  <c r="F86" i="15" s="1"/>
  <c r="F87" i="15" s="1"/>
  <c r="H29" i="15"/>
  <c r="E30" i="15"/>
  <c r="J64" i="14"/>
  <c r="J60" i="14"/>
  <c r="E67" i="14"/>
  <c r="E61" i="14"/>
  <c r="H59" i="1"/>
  <c r="J59" i="1" s="1"/>
  <c r="E55" i="1"/>
  <c r="J30" i="1"/>
  <c r="L61" i="18" l="1"/>
  <c r="Q31" i="18"/>
  <c r="E61" i="18"/>
  <c r="J31" i="18"/>
  <c r="E54" i="17"/>
  <c r="E55" i="17" s="1"/>
  <c r="J29" i="17"/>
  <c r="I65" i="17"/>
  <c r="J65" i="17" s="1"/>
  <c r="J62" i="17"/>
  <c r="J31" i="16"/>
  <c r="L30" i="16"/>
  <c r="E74" i="16"/>
  <c r="E64" i="16"/>
  <c r="H30" i="15"/>
  <c r="E60" i="15"/>
  <c r="F65" i="15"/>
  <c r="H64" i="15"/>
  <c r="E72" i="14"/>
  <c r="J72" i="14" s="1"/>
  <c r="J67" i="14"/>
  <c r="J61" i="14"/>
  <c r="E63" i="14"/>
  <c r="E56" i="1"/>
  <c r="H60" i="1"/>
  <c r="J55" i="1"/>
  <c r="Q61" i="18" l="1"/>
  <c r="L68" i="18"/>
  <c r="L62" i="18"/>
  <c r="J61" i="18"/>
  <c r="E68" i="18"/>
  <c r="E62" i="18"/>
  <c r="J54" i="17"/>
  <c r="J61" i="16"/>
  <c r="L31" i="16"/>
  <c r="L64" i="16"/>
  <c r="E66" i="16"/>
  <c r="E73" i="15"/>
  <c r="H60" i="15"/>
  <c r="E61" i="15"/>
  <c r="J63" i="14"/>
  <c r="E65" i="14"/>
  <c r="J65" i="14" s="1"/>
  <c r="E58" i="1"/>
  <c r="E60" i="1" s="1"/>
  <c r="J56" i="1"/>
  <c r="Q62" i="18" l="1"/>
  <c r="L65" i="18"/>
  <c r="L78" i="18" s="1"/>
  <c r="Q78" i="18" s="1"/>
  <c r="J62" i="18"/>
  <c r="E65" i="18"/>
  <c r="L74" i="18"/>
  <c r="Q68" i="18"/>
  <c r="J68" i="18"/>
  <c r="E74" i="18"/>
  <c r="J55" i="17"/>
  <c r="E56" i="17"/>
  <c r="E59" i="17"/>
  <c r="J59" i="17" s="1"/>
  <c r="J68" i="16"/>
  <c r="J62" i="16"/>
  <c r="L61" i="16"/>
  <c r="D83" i="15"/>
  <c r="E83" i="15" s="1"/>
  <c r="E86" i="15" s="1"/>
  <c r="H86" i="15" s="1"/>
  <c r="H93" i="15" s="1"/>
  <c r="H61" i="15"/>
  <c r="E63" i="15"/>
  <c r="E76" i="15"/>
  <c r="E80" i="15" s="1"/>
  <c r="H73" i="15"/>
  <c r="H76" i="15" s="1"/>
  <c r="J60" i="1"/>
  <c r="J58" i="1"/>
  <c r="L81" i="18" l="1"/>
  <c r="Q81" i="18" s="1"/>
  <c r="L84" i="18"/>
  <c r="Q84" i="18" s="1"/>
  <c r="L80" i="18"/>
  <c r="Q80" i="18" s="1"/>
  <c r="L83" i="18"/>
  <c r="Q83" i="18" s="1"/>
  <c r="L79" i="18"/>
  <c r="L82" i="18"/>
  <c r="Q82" i="18" s="1"/>
  <c r="J74" i="18"/>
  <c r="J75" i="18" s="1"/>
  <c r="E75" i="18"/>
  <c r="Q74" i="18"/>
  <c r="L75" i="18"/>
  <c r="J65" i="18"/>
  <c r="E66" i="18"/>
  <c r="J66" i="18" s="1"/>
  <c r="L66" i="18"/>
  <c r="Q66" i="18" s="1"/>
  <c r="Q65" i="18"/>
  <c r="E57" i="17"/>
  <c r="J56" i="17"/>
  <c r="J65" i="16"/>
  <c r="L62" i="16"/>
  <c r="J74" i="16"/>
  <c r="L68" i="16"/>
  <c r="L74" i="16" s="1"/>
  <c r="H80" i="15"/>
  <c r="H92" i="15" s="1"/>
  <c r="H94" i="15" s="1"/>
  <c r="H90" i="15"/>
  <c r="E87" i="15"/>
  <c r="H87" i="15" s="1"/>
  <c r="E65" i="15"/>
  <c r="H65" i="15" s="1"/>
  <c r="H63" i="15"/>
  <c r="L85" i="18" l="1"/>
  <c r="Q85" i="18" s="1"/>
  <c r="Q79" i="18"/>
  <c r="Q75" i="18"/>
  <c r="J57" i="17"/>
  <c r="E67" i="17"/>
  <c r="J67" i="17" s="1"/>
  <c r="J66" i="16"/>
  <c r="L66" i="16" s="1"/>
  <c r="L6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Ming Wan</author>
  </authors>
  <commentList>
    <comment ref="E6" authorId="0" shapeId="0" xr:uid="{157F4375-E579-4A50-A492-01B70DE20405}">
      <text>
        <r>
          <rPr>
            <b/>
            <sz val="9"/>
            <color indexed="81"/>
            <rFont val="Tahoma"/>
            <family val="2"/>
          </rPr>
          <t>Millie:</t>
        </r>
        <r>
          <rPr>
            <sz val="9"/>
            <color indexed="81"/>
            <rFont val="Tahoma"/>
            <family val="2"/>
          </rPr>
          <t xml:space="preserve">
ONR 6mon : 6mon split
ARO 5mon : 7mon split
Please see BAA details</t>
        </r>
      </text>
    </comment>
  </commentList>
</comments>
</file>

<file path=xl/sharedStrings.xml><?xml version="1.0" encoding="utf-8"?>
<sst xmlns="http://schemas.openxmlformats.org/spreadsheetml/2006/main" count="912" uniqueCount="329">
  <si>
    <t>TOTAL DIRECT AND INDIRECT COSTS</t>
  </si>
  <si>
    <t>J.</t>
  </si>
  <si>
    <t>TOTAL INDIRECT COSTS</t>
  </si>
  <si>
    <t>I.</t>
  </si>
  <si>
    <t>TOTAL DIRECT COSTS (A THROUGH G)</t>
  </si>
  <si>
    <t>H.</t>
  </si>
  <si>
    <t>5. SUBCONTRACTS</t>
  </si>
  <si>
    <t>3. CONSULTANT SERVICES</t>
  </si>
  <si>
    <t>1. MATERIALS AND SUPPLIES</t>
  </si>
  <si>
    <t>OTHER DIRECT COSTS</t>
  </si>
  <si>
    <t xml:space="preserve">G. </t>
  </si>
  <si>
    <t>(  ) TOTAL PARTICIPANT COSTS</t>
  </si>
  <si>
    <t>4. OTHER</t>
  </si>
  <si>
    <t>3. SUBSISTENCE</t>
  </si>
  <si>
    <t>2. TRAVEL</t>
  </si>
  <si>
    <t>1. STIPENDS</t>
  </si>
  <si>
    <t>PARTICIPANT SUPPORT COSTS</t>
  </si>
  <si>
    <t>F.</t>
  </si>
  <si>
    <t>2. FOREIGN</t>
  </si>
  <si>
    <t>TRAVEL</t>
  </si>
  <si>
    <t>E.</t>
  </si>
  <si>
    <t>TOTAL PERMANENT EQUIPMENT</t>
  </si>
  <si>
    <t>D.</t>
  </si>
  <si>
    <t>TOTAL SALARIES, WAGES AND FRINGE BENEFITS (A+B+C)</t>
  </si>
  <si>
    <t>C.</t>
  </si>
  <si>
    <t>TOTAL SALARIES AND WAGES (A+B)</t>
  </si>
  <si>
    <t>6. (  ) OTHER</t>
  </si>
  <si>
    <t>5. (  ) SECRETARIAL-CLERICAL</t>
  </si>
  <si>
    <t>4. ( ) UNDERGRADUATE STUDENTS</t>
  </si>
  <si>
    <t>B.</t>
  </si>
  <si>
    <t>A.</t>
  </si>
  <si>
    <t>Inflation</t>
  </si>
  <si>
    <t>Yr 5</t>
  </si>
  <si>
    <t>Yr 4</t>
  </si>
  <si>
    <t>Yr 3</t>
  </si>
  <si>
    <t>Yr 2</t>
  </si>
  <si>
    <t>Yr 1</t>
  </si>
  <si>
    <t>Year 5</t>
  </si>
  <si>
    <t>Year 4</t>
  </si>
  <si>
    <t>Year 3</t>
  </si>
  <si>
    <t>Year 2</t>
  </si>
  <si>
    <t>Year 1</t>
  </si>
  <si>
    <t xml:space="preserve">SENIOR PERSONNEL:  </t>
  </si>
  <si>
    <t xml:space="preserve">1. DOMESTIC </t>
  </si>
  <si>
    <t xml:space="preserve">FRINGE BENEFITS </t>
  </si>
  <si>
    <t xml:space="preserve">PERMANENT EQUIPMENT </t>
  </si>
  <si>
    <t xml:space="preserve">TOTAL FRINGE BENEFITS </t>
  </si>
  <si>
    <t>TOTAL TRAVEL COSTS</t>
  </si>
  <si>
    <t>TOTAL OTHER DIRECT COSTS</t>
  </si>
  <si>
    <t>TOTAL Project</t>
  </si>
  <si>
    <t>2. (  ) OTHER PROFESSIONALS (TECHNICIAN, PROGRAMMER)</t>
  </si>
  <si>
    <t>1. (  ) POSTDOCTORAL SCHOLAR</t>
  </si>
  <si>
    <t>GRA FRINGE</t>
  </si>
  <si>
    <t>Solicitation Funding Restriction</t>
  </si>
  <si>
    <t>New proposal eRouting</t>
  </si>
  <si>
    <t>To start a new proposal erouting, we need the following info.</t>
  </si>
  <si>
    <r>
      <t>1)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Solicitation#</t>
    </r>
  </si>
  <si>
    <r>
      <t>2)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Project title</t>
    </r>
  </si>
  <si>
    <r>
      <t>3)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Performance Period</t>
    </r>
  </si>
  <si>
    <r>
      <t>4)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SOW (short draft)</t>
    </r>
  </si>
  <si>
    <r>
      <t>5)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Budget plan</t>
    </r>
  </si>
  <si>
    <r>
      <t>6)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Budget justification if you have</t>
    </r>
  </si>
  <si>
    <r>
      <t>7)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Sponsor profile: name, address, admin and technical contact, tel &amp; email</t>
    </r>
  </si>
  <si>
    <r>
      <t>8)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Any special review items: IRB, IACUC, Export Control, COI, etc.</t>
    </r>
  </si>
  <si>
    <t>Subcontracts</t>
  </si>
  <si>
    <t>We need the following docs from every subcontractors.</t>
  </si>
  <si>
    <r>
      <t>1)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LOI (with institutional authorized representative signature)</t>
    </r>
  </si>
  <si>
    <r>
      <t>2)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SOW (subaward portion)</t>
    </r>
  </si>
  <si>
    <r>
      <t>3)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Budget (subaward portion, excel format)</t>
    </r>
  </si>
  <si>
    <r>
      <t>4)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Budget justification (subaward portion)</t>
    </r>
  </si>
  <si>
    <r>
      <t>5)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Subrecipient profile (including institution name, address, contact info, tel, email, NSF institution registration#)</t>
    </r>
  </si>
  <si>
    <r>
      <t>6)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Biosketch for senior personnel</t>
    </r>
  </si>
  <si>
    <r>
      <t>7)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C&amp;P Support form for every senior personnel</t>
    </r>
  </si>
  <si>
    <r>
      <t>8)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COA for senior personnel</t>
    </r>
  </si>
  <si>
    <r>
      <t>9)</t>
    </r>
    <r>
      <rPr>
        <sz val="7"/>
        <color rgb="FF0000FF"/>
        <rFont val="Times New Roman"/>
        <family val="1"/>
      </rPr>
      <t xml:space="preserve">    </t>
    </r>
    <r>
      <rPr>
        <sz val="11"/>
        <color rgb="FF0000FF"/>
        <rFont val="Tahoma"/>
        <family val="2"/>
      </rPr>
      <t>Other documents the solicitation required</t>
    </r>
  </si>
  <si>
    <t>Effort</t>
  </si>
  <si>
    <t>Step II: all doctoral students who have not advanced to candidacy</t>
  </si>
  <si>
    <t>Step III: all doctoral students officially advanced to candidacy</t>
  </si>
  <si>
    <t>Based on $15.45/hr @ 10/hours/ week , *4week/month* 9mon</t>
  </si>
  <si>
    <t>CoPI</t>
  </si>
  <si>
    <t>summer faculty, undergrad</t>
  </si>
  <si>
    <t>Grad</t>
  </si>
  <si>
    <t>Undergrad FRINGE</t>
  </si>
  <si>
    <t xml:space="preserve">OTHER PERSONNEL </t>
  </si>
  <si>
    <t>Fall 2021 &amp; Spring 2022</t>
  </si>
  <si>
    <t>Per Credit Hour</t>
  </si>
  <si>
    <t>Example of 10 credits</t>
  </si>
  <si>
    <t>Credit Hours</t>
  </si>
  <si>
    <t>1 </t>
  </si>
  <si>
    <t>*Tuition Resident</t>
  </si>
  <si>
    <t>*Tuition Non-Resident</t>
  </si>
  <si>
    <t>*Total Fees (Flat fee)</t>
  </si>
  <si>
    <t>Total Resident</t>
  </si>
  <si>
    <t>Total Non-Resident</t>
  </si>
  <si>
    <t>Graduate Tuition &amp; Fees</t>
  </si>
  <si>
    <t>2 semesters</t>
  </si>
  <si>
    <t>Step II 12month GRA</t>
  </si>
  <si>
    <t>Total Project Costs</t>
  </si>
  <si>
    <t>Object Code</t>
  </si>
  <si>
    <t>Group</t>
  </si>
  <si>
    <t>Wage Object Codes and Descriptions</t>
  </si>
  <si>
    <t>Faculty Fringe Rate</t>
  </si>
  <si>
    <t>1011, 1012, 1015, 1016, 1018 -- Includes 12-month and academic year faculty (also includes acting and admin increments). Excludes contractual and hourly faculty.</t>
  </si>
  <si>
    <t>Staff Fringe Rate</t>
  </si>
  <si>
    <t>1013, 1014 -- Includes exempt and non-exempt staff</t>
  </si>
  <si>
    <t>Limited Employees Fringe Rate</t>
  </si>
  <si>
    <t>1020, 2067, 2068, 2069, 2072, 2073, 2090 -- Includes contractual faculty and staff and graduate assistants</t>
  </si>
  <si>
    <t>Legislated Employees Fringe Rates</t>
  </si>
  <si>
    <t>2071, 2074, 2075, 2080, 2081, 2100, 2120, 1099, 2099 -- Includes students with hourly wages, and most faculty/staff additional pays</t>
  </si>
  <si>
    <t>Staff Fringe</t>
  </si>
  <si>
    <t>Staff</t>
  </si>
  <si>
    <t>AY Faculty, PTK, Postdoc</t>
  </si>
  <si>
    <t>FY22</t>
  </si>
  <si>
    <t>Fall 2022 &amp; Spring 2023</t>
  </si>
  <si>
    <t xml:space="preserve">Summary 3-year </t>
  </si>
  <si>
    <t>Total</t>
  </si>
  <si>
    <t>Nights/ Days</t>
  </si>
  <si>
    <t># of travelers</t>
  </si>
  <si>
    <t>Rate</t>
  </si>
  <si>
    <t>Hotel</t>
  </si>
  <si>
    <t>Per diem</t>
  </si>
  <si>
    <t>Airfare</t>
  </si>
  <si>
    <t>Registration &amp; Abstract Fees</t>
  </si>
  <si>
    <t>Incidentals (parking, taxi, internet)</t>
  </si>
  <si>
    <t>Organized Research</t>
  </si>
  <si>
    <t>FY24-FY26</t>
  </si>
  <si>
    <t>DoD Contract</t>
  </si>
  <si>
    <t>Grad Tuition - Step III</t>
  </si>
  <si>
    <t>5years</t>
  </si>
  <si>
    <t>11/1/27 - 4/30/28   6months</t>
  </si>
  <si>
    <t>11/1/26 - 10/31/27   12months</t>
  </si>
  <si>
    <t>5/1/26 - 10/31/26   6months</t>
  </si>
  <si>
    <t>11/1/25 - 4/30/26   6months</t>
  </si>
  <si>
    <t>11/1/24 - 10/31/25   12months</t>
  </si>
  <si>
    <t>11/1/23 - 10/31/24   12months</t>
  </si>
  <si>
    <t xml:space="preserve">Total </t>
  </si>
  <si>
    <t>BP6</t>
  </si>
  <si>
    <t>BP5</t>
  </si>
  <si>
    <t>BP4 -2</t>
  </si>
  <si>
    <t>BP4 - 1</t>
  </si>
  <si>
    <t>BP3</t>
  </si>
  <si>
    <t>BP2</t>
  </si>
  <si>
    <t>BP1</t>
  </si>
  <si>
    <t>New Meal Rates:</t>
  </si>
  <si>
    <t>B - $15</t>
  </si>
  <si>
    <t>L - $18</t>
  </si>
  <si>
    <t>D - $30</t>
  </si>
  <si>
    <t>      $63</t>
  </si>
  <si>
    <t>New Mileage Rate: 0.625 per mile</t>
  </si>
  <si>
    <t>Domestic</t>
  </si>
  <si>
    <t>YR1</t>
  </si>
  <si>
    <t>Conference</t>
  </si>
  <si>
    <t>#Persons</t>
  </si>
  <si>
    <t>Trips</t>
  </si>
  <si>
    <t>Days</t>
  </si>
  <si>
    <t xml:space="preserve">Registration </t>
  </si>
  <si>
    <t>Lodging</t>
  </si>
  <si>
    <t>Car rental / taxi</t>
  </si>
  <si>
    <t>Destination - TBD</t>
  </si>
  <si>
    <t>Project Review Meeting</t>
  </si>
  <si>
    <t>Total (a)</t>
  </si>
  <si>
    <t>https://billpay.umd.edu/phdTuition</t>
  </si>
  <si>
    <t>https://billpay.umd.edu/GraduateTuition</t>
  </si>
  <si>
    <t>Base Salary</t>
  </si>
  <si>
    <t xml:space="preserve">(    ) TOTAL SENIOR PERSONNEL </t>
  </si>
  <si>
    <t>PI</t>
  </si>
  <si>
    <t>Postdoc &amp; PTK Fringe</t>
  </si>
  <si>
    <r>
      <rPr>
        <b/>
        <u/>
        <sz val="14"/>
        <rFont val="Calibri"/>
        <family val="2"/>
      </rPr>
      <t>A. James Clark School of Engineering</t>
    </r>
  </si>
  <si>
    <r>
      <rPr>
        <b/>
        <u/>
        <sz val="14"/>
        <rFont val="Calibri"/>
        <family val="2"/>
      </rPr>
      <t>Graduate Assistantship Stipends</t>
    </r>
  </si>
  <si>
    <r>
      <rPr>
        <b/>
        <u/>
        <sz val="14"/>
        <rFont val="Calibri"/>
        <family val="2"/>
      </rPr>
      <t>FY23  - Effective November 1, 2022 (COLA)</t>
    </r>
  </si>
  <si>
    <r>
      <rPr>
        <b/>
        <sz val="11"/>
        <rFont val="Calibri"/>
        <family val="2"/>
      </rPr>
      <t>9-month Assistantship</t>
    </r>
  </si>
  <si>
    <r>
      <rPr>
        <b/>
        <sz val="11"/>
        <rFont val="Calibri"/>
        <family val="2"/>
      </rPr>
      <t>12-month Assistantship</t>
    </r>
  </si>
  <si>
    <r>
      <rPr>
        <sz val="11"/>
        <rFont val="Calibri"/>
        <family val="2"/>
      </rPr>
      <t>Full</t>
    </r>
  </si>
  <si>
    <r>
      <rPr>
        <sz val="11"/>
        <rFont val="Calibri"/>
        <family val="2"/>
      </rPr>
      <t>Half</t>
    </r>
  </si>
  <si>
    <r>
      <rPr>
        <sz val="11"/>
        <rFont val="Calibri"/>
        <family val="2"/>
      </rPr>
      <t>Step 1</t>
    </r>
  </si>
  <si>
    <r>
      <rPr>
        <sz val="11"/>
        <rFont val="Calibri"/>
        <family val="2"/>
      </rPr>
      <t>Step II</t>
    </r>
  </si>
  <si>
    <r>
      <rPr>
        <sz val="11"/>
        <rFont val="Calibri"/>
        <family val="2"/>
      </rPr>
      <t>Step III</t>
    </r>
  </si>
  <si>
    <r>
      <rPr>
        <b/>
        <sz val="11"/>
        <rFont val="Calibri"/>
        <family val="2"/>
      </rPr>
      <t>Clark School Summer Rates</t>
    </r>
  </si>
  <si>
    <t>Step I 12month GRA</t>
  </si>
  <si>
    <t>Step III 12month GRA</t>
  </si>
  <si>
    <t xml:space="preserve">FY23 </t>
  </si>
  <si>
    <t>Fringe Rate</t>
  </si>
  <si>
    <t>Tuition Rate</t>
  </si>
  <si>
    <t>F&amp;A Rate</t>
  </si>
  <si>
    <t>FY23</t>
  </si>
  <si>
    <t>FY24 &amp; beyond</t>
  </si>
  <si>
    <t>PART-TIME  PHD CANDIDATE  </t>
  </si>
  <si>
    <t>PhD Candidacy In-State Tuition - per semester</t>
  </si>
  <si>
    <t>https://provost.umd.edu/fringe-benefit-rates/fringe-rates</t>
  </si>
  <si>
    <t>https://ora.umd.edu/resources/fa</t>
  </si>
  <si>
    <t>ME</t>
  </si>
  <si>
    <t>AE</t>
  </si>
  <si>
    <t>xxx</t>
  </si>
  <si>
    <t>Grant/ Contract Program &amp; FOA /BAA# (e.g. NSF 21-509)</t>
  </si>
  <si>
    <t>Sub -2</t>
  </si>
  <si>
    <t>Sub -3</t>
  </si>
  <si>
    <t>UCLA</t>
  </si>
  <si>
    <t>GT</t>
  </si>
  <si>
    <t>UMB</t>
  </si>
  <si>
    <t>Grant/ Contract Program &amp; FOA /BAA# (e.g. DOE EERE DE-FOA-0002611)</t>
  </si>
  <si>
    <t>UMD</t>
  </si>
  <si>
    <t>Prime</t>
  </si>
  <si>
    <t>Sub -1</t>
  </si>
  <si>
    <t>UMD IDC on Subs</t>
  </si>
  <si>
    <t>NIH R21 Modular Budget (e.g. RFA-EY-21-001)</t>
  </si>
  <si>
    <t>three-year funding period. No more than $200,000 total direct costs may be requested in any single year.</t>
  </si>
  <si>
    <r>
      <t>Application budgets may not exceed $400,000 </t>
    </r>
    <r>
      <rPr>
        <b/>
        <sz val="11"/>
        <rFont val="Calibri"/>
        <family val="2"/>
        <scheme val="minor"/>
      </rPr>
      <t>total direct costs</t>
    </r>
    <r>
      <rPr>
        <sz val="11"/>
        <rFont val="Calibri"/>
        <family val="2"/>
        <scheme val="minor"/>
      </rPr>
      <t xml:space="preserve"> over a maximum </t>
    </r>
  </si>
  <si>
    <t>Consortium#1 DC</t>
  </si>
  <si>
    <t>Consortium#2 DC</t>
  </si>
  <si>
    <t>A. Direct Costs</t>
  </si>
  <si>
    <t xml:space="preserve">UMD Prime </t>
  </si>
  <si>
    <t>Direct Cost Less Consortium Indirect - (F&amp;A)</t>
  </si>
  <si>
    <t>Consortium Indirect (F&amp;A)</t>
  </si>
  <si>
    <t>Consortium#1 -  Indirect (F&amp;A)</t>
  </si>
  <si>
    <t>Consortium#2 -  Indirect (F&amp;A)</t>
  </si>
  <si>
    <t>Total Direct Costs</t>
  </si>
  <si>
    <t>NIH funding restriction target $400K</t>
  </si>
  <si>
    <t>B. Indirect (F&amp;A) Costs</t>
  </si>
  <si>
    <t>MTDC Based F&amp;A Costs</t>
  </si>
  <si>
    <t>Indirect (F&amp;A) Rate</t>
  </si>
  <si>
    <t>Indirect (F&amp;A) Base</t>
  </si>
  <si>
    <t>Indirect (F&amp;A) Type</t>
  </si>
  <si>
    <t>Total Indirect (F&amp;A) Costs</t>
  </si>
  <si>
    <t xml:space="preserve">C. Total Direct and Indirect (F&amp;A) Costs </t>
  </si>
  <si>
    <t>PHS 398 Modular Budget</t>
  </si>
  <si>
    <t>Cumulative Budget Information</t>
  </si>
  <si>
    <t>1. Total Costs, Entire Project Period</t>
  </si>
  <si>
    <t>Section A, Total Direct Costs less Consortium Indirect (F&amp;A) for Entire Project Period</t>
  </si>
  <si>
    <t>Section A, Total Consortium Indirect (F&amp;A) for Entire Project Period</t>
  </si>
  <si>
    <t>Section A, Total Direct Costs for Entire Project Period</t>
  </si>
  <si>
    <t>Section B, Total Indirect Costs (F&amp;A) for Entire Project Period</t>
  </si>
  <si>
    <t>Section C, Total Direct &amp; Indirect (F&amp;A)Costs (A+B) for Entire Project Period</t>
  </si>
  <si>
    <t>https://www.gsa.gov/travel/plan-book/per-diem-rates</t>
  </si>
  <si>
    <t>https://www.usmd.edu/regents/bylaws/SectionVIII/VIII-11.10.pdf</t>
  </si>
  <si>
    <t>Per Diem $63/day, based on UMD domestic policy</t>
  </si>
  <si>
    <t>Hotel rate $172/night, based on GSA website Washighton DC rate</t>
  </si>
  <si>
    <t>UMD - PI</t>
  </si>
  <si>
    <t>Sub-University 1</t>
  </si>
  <si>
    <t>Sub-University 2</t>
  </si>
  <si>
    <t>Sub-University 3</t>
  </si>
  <si>
    <t>Sub-University 4</t>
  </si>
  <si>
    <t>UMD - CoPI-1</t>
  </si>
  <si>
    <t>MURI Budget Target</t>
  </si>
  <si>
    <t>BP4 - 2</t>
  </si>
  <si>
    <t>5/1/23 - 10/31/23 6months</t>
  </si>
  <si>
    <t>11/1/23 - 10/31/24 12months</t>
  </si>
  <si>
    <t>11/1/24 - 10/31/25 12months</t>
  </si>
  <si>
    <t>11/1/25 - 4/30/26 6months</t>
  </si>
  <si>
    <t>5/1/26 - 10/31/26 6months</t>
  </si>
  <si>
    <t>11/1/26 - 10/31/27 12months</t>
  </si>
  <si>
    <t>11/1/27 - 4/30/28 6months</t>
  </si>
  <si>
    <t>ONR MURI  N00014-22-S-F002</t>
  </si>
  <si>
    <t>5-years</t>
  </si>
  <si>
    <t>6m</t>
  </si>
  <si>
    <t>12m</t>
  </si>
  <si>
    <t>Sub -4</t>
  </si>
  <si>
    <t>UNC</t>
  </si>
  <si>
    <t>5/1/23 - 10/31/23   6months</t>
  </si>
  <si>
    <t>USDA-NIFA-AFRI-009003  6e. Environmental and Natural Resource Economics</t>
  </si>
  <si>
    <t xml:space="preserve">3. (   )  OTHERS </t>
  </si>
  <si>
    <t>PTK Fringe</t>
  </si>
  <si>
    <t>TOTAL INDIRECT COSTS UMD</t>
  </si>
  <si>
    <t>1) 55% of MTDC - UMD</t>
  </si>
  <si>
    <t>Sub UCSB - 30% TFFA</t>
  </si>
  <si>
    <t>Sub UNTexas - 30% TFFA</t>
  </si>
  <si>
    <t>2) 30% of TFFA (lesser)</t>
  </si>
  <si>
    <t>UMD IDC allowed</t>
  </si>
  <si>
    <t>Direct Costs</t>
  </si>
  <si>
    <t>IDC</t>
  </si>
  <si>
    <t>UCSB</t>
  </si>
  <si>
    <t>UNTexas</t>
  </si>
  <si>
    <t>Total Project</t>
  </si>
  <si>
    <t>Project Title:</t>
  </si>
  <si>
    <t>Performance Period:</t>
  </si>
  <si>
    <t>to</t>
  </si>
  <si>
    <t>12month</t>
  </si>
  <si>
    <t>Monthly</t>
  </si>
  <si>
    <t>3. (1 ) GRAD STUDENTS - Step I</t>
  </si>
  <si>
    <t xml:space="preserve">    (1 ) GRAD STUDENTS - Step II</t>
  </si>
  <si>
    <t xml:space="preserve">    (1 ) GRAD STUDENTS - Step III</t>
  </si>
  <si>
    <t>2. PUBLICATION COSTS</t>
  </si>
  <si>
    <t>ECE</t>
  </si>
  <si>
    <t>1. Tuition</t>
  </si>
  <si>
    <t>2. Stipends</t>
  </si>
  <si>
    <t>3. Travel</t>
  </si>
  <si>
    <t>4. Subsistence</t>
  </si>
  <si>
    <t>5. Other</t>
  </si>
  <si>
    <t>4. COMPUTER (ADP) SERVICES</t>
  </si>
  <si>
    <t>5. SUBAWARDS</t>
  </si>
  <si>
    <t>7. OTHER - Grad Tuition - StepII</t>
  </si>
  <si>
    <t>6. FACILITY RENTAL USER FEES</t>
  </si>
  <si>
    <t>INDIRECT COSTS BASE</t>
  </si>
  <si>
    <t>Sponsor</t>
  </si>
  <si>
    <t>Organized Research FY23</t>
  </si>
  <si>
    <t>Organized Research FY24-26</t>
  </si>
  <si>
    <t>DOD Contracts FY23</t>
  </si>
  <si>
    <t>DOD Contracts FY24-26</t>
  </si>
  <si>
    <t>Off-Campus (A-Remote)</t>
  </si>
  <si>
    <t>Off-Campus (B-Adjacent)</t>
  </si>
  <si>
    <t xml:space="preserve">IPA </t>
  </si>
  <si>
    <t>DOD Contracts Off-Campus A</t>
  </si>
  <si>
    <t>DOD Contracts Off-Campus B</t>
  </si>
  <si>
    <t>SENIOR PERSONNEL Fringe</t>
  </si>
  <si>
    <t>2. PUBLICATION COST</t>
  </si>
  <si>
    <t>Grant/ Contract Program &amp; FOA /BAA# :</t>
  </si>
  <si>
    <t>DE-FOA-0002611</t>
  </si>
  <si>
    <t>Sponsor - DOE EERE</t>
  </si>
  <si>
    <t>UMD Cost Share</t>
  </si>
  <si>
    <t>Sponsor Funding Effort</t>
  </si>
  <si>
    <t>UMD CS Effort</t>
  </si>
  <si>
    <t>TOTAL EVPR</t>
  </si>
  <si>
    <t>TOTAL Match</t>
  </si>
  <si>
    <t>GRA Fringe</t>
  </si>
  <si>
    <t>Undergrad Fringe</t>
  </si>
  <si>
    <t>Department/College/VPR Split:</t>
  </si>
  <si>
    <t>40/40/20</t>
  </si>
  <si>
    <t>College 1</t>
  </si>
  <si>
    <t>College 2</t>
  </si>
  <si>
    <t>Dept 1</t>
  </si>
  <si>
    <t>Dept 2</t>
  </si>
  <si>
    <t>Dept 3</t>
  </si>
  <si>
    <t>Dept 4</t>
  </si>
  <si>
    <t>VPR</t>
  </si>
  <si>
    <t xml:space="preserve">Total Direct costs </t>
  </si>
  <si>
    <t>Sub -5</t>
  </si>
  <si>
    <t xml:space="preserve"> ( ) TOTAL SENIOR PERSONNEL</t>
  </si>
  <si>
    <t>Tim Smith</t>
  </si>
  <si>
    <t xml:space="preserve">NIH Salary Cap </t>
  </si>
  <si>
    <t>effective 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</si>
</sst>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"/>
    <numFmt numFmtId="166" formatCode="#."/>
    <numFmt numFmtId="167" formatCode="#,##0.0_);[Red]\(#,##0.0\)"/>
    <numFmt numFmtId="168" formatCode="#\-#####"/>
    <numFmt numFmtId="169" formatCode="0.000%"/>
    <numFmt numFmtId="170" formatCode="0.0%"/>
    <numFmt numFmtId="171" formatCode="0.00000"/>
    <numFmt numFmtId="172" formatCode="#"/>
    <numFmt numFmtId="173" formatCode="\$#,##0"/>
    <numFmt numFmtId="174" formatCode="0.00000%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4"/>
      <color rgb="FF0000FF"/>
      <name val="Tahoma"/>
      <family val="2"/>
    </font>
    <font>
      <sz val="11"/>
      <color rgb="FF0000FF"/>
      <name val="Tahoma"/>
      <family val="2"/>
    </font>
    <font>
      <sz val="7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1"/>
      <name val="Calibri"/>
      <family val="2"/>
    </font>
    <font>
      <sz val="10"/>
      <color rgb="FF000000"/>
      <name val="Times New Roman"/>
      <family val="1"/>
    </font>
    <font>
      <b/>
      <sz val="14"/>
      <name val="Calibri"/>
      <family val="2"/>
    </font>
    <font>
      <b/>
      <u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8.9"/>
      <color rgb="FF343434"/>
      <name val="Arial"/>
      <family val="2"/>
    </font>
    <font>
      <b/>
      <sz val="8"/>
      <color rgb="FF343434"/>
      <name val="Arial"/>
      <family val="2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</patternFill>
    </fill>
    <fill>
      <patternFill patternType="solid">
        <fgColor rgb="FFBEBEB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1F1F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43" fontId="22" fillId="0" borderId="0" applyFont="0" applyFill="0" applyBorder="0" applyAlignment="0" applyProtection="0"/>
    <xf numFmtId="0" fontId="26" fillId="0" borderId="0"/>
    <xf numFmtId="0" fontId="32" fillId="0" borderId="0"/>
  </cellStyleXfs>
  <cellXfs count="440">
    <xf numFmtId="0" fontId="0" fillId="0" borderId="0" xfId="0"/>
    <xf numFmtId="0" fontId="6" fillId="0" borderId="0" xfId="3" applyFont="1" applyAlignment="1">
      <alignment horizontal="center"/>
    </xf>
    <xf numFmtId="0" fontId="7" fillId="0" borderId="0" xfId="3" applyFont="1"/>
    <xf numFmtId="6" fontId="7" fillId="0" borderId="0" xfId="3" applyNumberFormat="1" applyFont="1" applyAlignment="1">
      <alignment horizontal="right"/>
    </xf>
    <xf numFmtId="0" fontId="6" fillId="0" borderId="3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26" xfId="3" applyFont="1" applyFill="1" applyBorder="1" applyAlignment="1">
      <alignment horizontal="center"/>
    </xf>
    <xf numFmtId="0" fontId="6" fillId="0" borderId="25" xfId="3" applyFont="1" applyFill="1" applyBorder="1" applyAlignment="1">
      <alignment horizontal="center"/>
    </xf>
    <xf numFmtId="0" fontId="7" fillId="0" borderId="8" xfId="3" applyFont="1" applyBorder="1"/>
    <xf numFmtId="0" fontId="7" fillId="0" borderId="24" xfId="3" applyFont="1" applyBorder="1"/>
    <xf numFmtId="0" fontId="7" fillId="0" borderId="23" xfId="3" applyFont="1" applyFill="1" applyBorder="1" applyAlignment="1">
      <alignment horizontal="right"/>
    </xf>
    <xf numFmtId="0" fontId="6" fillId="0" borderId="23" xfId="3" applyFont="1" applyBorder="1" applyAlignment="1">
      <alignment horizontal="center"/>
    </xf>
    <xf numFmtId="0" fontId="6" fillId="0" borderId="22" xfId="3" applyFont="1" applyFill="1" applyBorder="1" applyAlignment="1">
      <alignment horizontal="center"/>
    </xf>
    <xf numFmtId="6" fontId="7" fillId="0" borderId="16" xfId="3" applyNumberFormat="1" applyFont="1" applyFill="1" applyBorder="1" applyAlignment="1">
      <alignment horizontal="right"/>
    </xf>
    <xf numFmtId="0" fontId="7" fillId="0" borderId="0" xfId="3" applyFont="1" applyFill="1" applyBorder="1"/>
    <xf numFmtId="0" fontId="7" fillId="0" borderId="17" xfId="3" applyFont="1" applyBorder="1"/>
    <xf numFmtId="0" fontId="7" fillId="0" borderId="16" xfId="3" applyFont="1" applyBorder="1"/>
    <xf numFmtId="0" fontId="7" fillId="0" borderId="19" xfId="3" applyFont="1" applyBorder="1"/>
    <xf numFmtId="5" fontId="7" fillId="0" borderId="5" xfId="3" applyNumberFormat="1" applyFont="1" applyBorder="1" applyAlignment="1">
      <alignment horizontal="right"/>
    </xf>
    <xf numFmtId="0" fontId="7" fillId="0" borderId="15" xfId="3" applyFont="1" applyBorder="1"/>
    <xf numFmtId="0" fontId="7" fillId="0" borderId="19" xfId="3" applyFont="1" applyBorder="1" applyAlignment="1">
      <alignment horizontal="left" indent="2"/>
    </xf>
    <xf numFmtId="5" fontId="7" fillId="0" borderId="6" xfId="3" applyNumberFormat="1" applyFont="1" applyBorder="1" applyAlignment="1">
      <alignment horizontal="right"/>
    </xf>
    <xf numFmtId="0" fontId="7" fillId="0" borderId="20" xfId="3" applyFont="1" applyBorder="1"/>
    <xf numFmtId="0" fontId="7" fillId="0" borderId="0" xfId="3" applyFont="1" applyBorder="1"/>
    <xf numFmtId="0" fontId="7" fillId="2" borderId="6" xfId="3" applyFont="1" applyFill="1" applyBorder="1" applyAlignment="1">
      <alignment horizontal="right"/>
    </xf>
    <xf numFmtId="0" fontId="5" fillId="0" borderId="19" xfId="3" applyFont="1" applyBorder="1"/>
    <xf numFmtId="6" fontId="8" fillId="0" borderId="7" xfId="3" applyNumberFormat="1" applyFont="1" applyFill="1" applyBorder="1" applyAlignment="1">
      <alignment horizontal="right"/>
    </xf>
    <xf numFmtId="5" fontId="7" fillId="0" borderId="0" xfId="3" applyNumberFormat="1" applyFont="1"/>
    <xf numFmtId="5" fontId="7" fillId="2" borderId="6" xfId="3" applyNumberFormat="1" applyFont="1" applyFill="1" applyBorder="1" applyAlignment="1">
      <alignment horizontal="right"/>
    </xf>
    <xf numFmtId="0" fontId="6" fillId="0" borderId="16" xfId="3" applyFont="1" applyBorder="1"/>
    <xf numFmtId="0" fontId="6" fillId="0" borderId="19" xfId="3" applyFont="1" applyBorder="1"/>
    <xf numFmtId="5" fontId="6" fillId="0" borderId="6" xfId="3" applyNumberFormat="1" applyFont="1" applyBorder="1" applyAlignment="1">
      <alignment horizontal="right"/>
    </xf>
    <xf numFmtId="5" fontId="6" fillId="0" borderId="5" xfId="3" applyNumberFormat="1" applyFont="1" applyBorder="1" applyAlignment="1">
      <alignment horizontal="right"/>
    </xf>
    <xf numFmtId="0" fontId="6" fillId="0" borderId="0" xfId="3" applyFont="1"/>
    <xf numFmtId="6" fontId="6" fillId="0" borderId="16" xfId="3" applyNumberFormat="1" applyFont="1" applyFill="1" applyBorder="1" applyAlignment="1">
      <alignment horizontal="right"/>
    </xf>
    <xf numFmtId="0" fontId="7" fillId="0" borderId="31" xfId="3" applyFont="1" applyBorder="1"/>
    <xf numFmtId="0" fontId="7" fillId="0" borderId="0" xfId="3" applyFont="1" applyBorder="1" applyAlignment="1">
      <alignment horizontal="left" indent="2"/>
    </xf>
    <xf numFmtId="5" fontId="7" fillId="0" borderId="6" xfId="3" applyNumberFormat="1" applyFont="1" applyFill="1" applyBorder="1" applyAlignment="1">
      <alignment horizontal="right"/>
    </xf>
    <xf numFmtId="0" fontId="7" fillId="0" borderId="18" xfId="3" applyFont="1" applyBorder="1"/>
    <xf numFmtId="0" fontId="7" fillId="0" borderId="21" xfId="3" applyFont="1" applyBorder="1"/>
    <xf numFmtId="5" fontId="7" fillId="0" borderId="18" xfId="3" applyNumberFormat="1" applyFont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0" fontId="7" fillId="0" borderId="0" xfId="3" applyFont="1" applyBorder="1" applyAlignment="1">
      <alignment horizontal="left"/>
    </xf>
    <xf numFmtId="165" fontId="7" fillId="0" borderId="15" xfId="3" applyNumberFormat="1" applyFont="1" applyBorder="1" applyAlignment="1">
      <alignment horizontal="left"/>
    </xf>
    <xf numFmtId="5" fontId="7" fillId="0" borderId="0" xfId="3" applyNumberFormat="1" applyFont="1" applyBorder="1" applyAlignment="1">
      <alignment horizontal="left"/>
    </xf>
    <xf numFmtId="0" fontId="7" fillId="0" borderId="18" xfId="3" applyFont="1" applyBorder="1" applyAlignment="1">
      <alignment horizontal="left" indent="2"/>
    </xf>
    <xf numFmtId="165" fontId="7" fillId="0" borderId="18" xfId="3" applyNumberFormat="1" applyFont="1" applyBorder="1"/>
    <xf numFmtId="0" fontId="10" fillId="0" borderId="19" xfId="3" applyFont="1" applyBorder="1"/>
    <xf numFmtId="6" fontId="9" fillId="0" borderId="7" xfId="5" applyNumberFormat="1" applyFont="1" applyFill="1" applyBorder="1" applyAlignment="1">
      <alignment horizontal="right"/>
    </xf>
    <xf numFmtId="164" fontId="7" fillId="3" borderId="6" xfId="3" applyNumberFormat="1" applyFont="1" applyFill="1" applyBorder="1"/>
    <xf numFmtId="0" fontId="6" fillId="0" borderId="20" xfId="3" applyFont="1" applyBorder="1"/>
    <xf numFmtId="0" fontId="6" fillId="0" borderId="0" xfId="3" applyFont="1" applyFill="1" applyBorder="1"/>
    <xf numFmtId="0" fontId="6" fillId="0" borderId="17" xfId="3" applyFont="1" applyBorder="1"/>
    <xf numFmtId="0" fontId="7" fillId="4" borderId="19" xfId="3" applyFont="1" applyFill="1" applyBorder="1"/>
    <xf numFmtId="0" fontId="7" fillId="4" borderId="31" xfId="3" applyFont="1" applyFill="1" applyBorder="1"/>
    <xf numFmtId="5" fontId="7" fillId="4" borderId="6" xfId="3" applyNumberFormat="1" applyFont="1" applyFill="1" applyBorder="1" applyAlignment="1">
      <alignment horizontal="right"/>
    </xf>
    <xf numFmtId="5" fontId="7" fillId="4" borderId="5" xfId="3" applyNumberFormat="1" applyFont="1" applyFill="1" applyBorder="1" applyAlignment="1">
      <alignment horizontal="right"/>
    </xf>
    <xf numFmtId="0" fontId="6" fillId="0" borderId="15" xfId="3" applyFont="1" applyBorder="1"/>
    <xf numFmtId="5" fontId="6" fillId="0" borderId="14" xfId="3" applyNumberFormat="1" applyFont="1" applyFill="1" applyBorder="1" applyAlignment="1">
      <alignment horizontal="right"/>
    </xf>
    <xf numFmtId="5" fontId="6" fillId="0" borderId="4" xfId="3" applyNumberFormat="1" applyFont="1" applyBorder="1" applyAlignment="1">
      <alignment horizontal="right"/>
    </xf>
    <xf numFmtId="0" fontId="6" fillId="0" borderId="13" xfId="3" applyFont="1" applyFill="1" applyBorder="1"/>
    <xf numFmtId="0" fontId="6" fillId="0" borderId="12" xfId="3" applyFont="1" applyBorder="1"/>
    <xf numFmtId="0" fontId="6" fillId="0" borderId="11" xfId="3" applyFont="1" applyBorder="1"/>
    <xf numFmtId="5" fontId="6" fillId="0" borderId="10" xfId="3" applyNumberFormat="1" applyFont="1" applyBorder="1" applyAlignment="1">
      <alignment horizontal="right"/>
    </xf>
    <xf numFmtId="5" fontId="6" fillId="0" borderId="0" xfId="3" applyNumberFormat="1" applyFont="1"/>
    <xf numFmtId="6" fontId="6" fillId="0" borderId="0" xfId="3" applyNumberFormat="1" applyFont="1" applyAlignment="1">
      <alignment horizontal="right"/>
    </xf>
    <xf numFmtId="5" fontId="7" fillId="0" borderId="0" xfId="3" applyNumberFormat="1" applyFont="1" applyAlignment="1">
      <alignment horizontal="right"/>
    </xf>
    <xf numFmtId="0" fontId="11" fillId="0" borderId="0" xfId="3" applyFont="1"/>
    <xf numFmtId="0" fontId="7" fillId="0" borderId="15" xfId="3" applyFont="1" applyBorder="1" applyAlignment="1">
      <alignment horizontal="left" indent="1"/>
    </xf>
    <xf numFmtId="6" fontId="7" fillId="3" borderId="15" xfId="3" applyNumberFormat="1" applyFont="1" applyFill="1" applyBorder="1"/>
    <xf numFmtId="6" fontId="7" fillId="0" borderId="15" xfId="3" applyNumberFormat="1" applyFont="1" applyBorder="1"/>
    <xf numFmtId="0" fontId="6" fillId="0" borderId="0" xfId="3" applyFont="1" applyFill="1"/>
    <xf numFmtId="0" fontId="12" fillId="0" borderId="0" xfId="4" applyFont="1" applyAlignment="1" applyProtection="1"/>
    <xf numFmtId="0" fontId="10" fillId="0" borderId="15" xfId="3" applyFont="1" applyBorder="1"/>
    <xf numFmtId="167" fontId="8" fillId="3" borderId="6" xfId="1" applyNumberFormat="1" applyFont="1" applyFill="1" applyBorder="1"/>
    <xf numFmtId="167" fontId="7" fillId="3" borderId="0" xfId="3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/>
    </xf>
    <xf numFmtId="0" fontId="17" fillId="0" borderId="0" xfId="10"/>
    <xf numFmtId="168" fontId="17" fillId="0" borderId="0" xfId="10" applyNumberFormat="1" applyAlignment="1">
      <alignment horizontal="right"/>
    </xf>
    <xf numFmtId="0" fontId="17" fillId="6" borderId="0" xfId="10" applyFill="1"/>
    <xf numFmtId="0" fontId="17" fillId="0" borderId="0" xfId="10" applyAlignment="1">
      <alignment horizontal="left"/>
    </xf>
    <xf numFmtId="0" fontId="17" fillId="0" borderId="0" xfId="10" applyAlignment="1">
      <alignment horizontal="center" vertical="center"/>
    </xf>
    <xf numFmtId="6" fontId="7" fillId="0" borderId="16" xfId="3" applyNumberFormat="1" applyFont="1" applyFill="1" applyBorder="1" applyAlignment="1">
      <alignment horizontal="center"/>
    </xf>
    <xf numFmtId="6" fontId="7" fillId="0" borderId="0" xfId="3" applyNumberFormat="1" applyFont="1" applyFill="1" applyBorder="1" applyAlignment="1">
      <alignment horizontal="right"/>
    </xf>
    <xf numFmtId="6" fontId="6" fillId="0" borderId="0" xfId="3" applyNumberFormat="1" applyFont="1" applyFill="1" applyBorder="1" applyAlignment="1">
      <alignment horizontal="right"/>
    </xf>
    <xf numFmtId="6" fontId="8" fillId="0" borderId="32" xfId="5" applyNumberFormat="1" applyFont="1" applyFill="1" applyBorder="1" applyAlignment="1">
      <alignment horizontal="right"/>
    </xf>
    <xf numFmtId="6" fontId="8" fillId="0" borderId="32" xfId="3" applyNumberFormat="1" applyFont="1" applyFill="1" applyBorder="1" applyAlignment="1">
      <alignment horizontal="right"/>
    </xf>
    <xf numFmtId="6" fontId="6" fillId="0" borderId="26" xfId="3" applyNumberFormat="1" applyFont="1" applyFill="1" applyBorder="1" applyAlignment="1">
      <alignment horizontal="center"/>
    </xf>
    <xf numFmtId="6" fontId="7" fillId="0" borderId="33" xfId="3" applyNumberFormat="1" applyFont="1" applyFill="1" applyBorder="1" applyAlignment="1">
      <alignment horizontal="center"/>
    </xf>
    <xf numFmtId="6" fontId="8" fillId="0" borderId="6" xfId="5" applyNumberFormat="1" applyFont="1" applyFill="1" applyBorder="1" applyAlignment="1">
      <alignment horizontal="right"/>
    </xf>
    <xf numFmtId="6" fontId="8" fillId="0" borderId="6" xfId="3" applyNumberFormat="1" applyFont="1" applyFill="1" applyBorder="1" applyAlignment="1">
      <alignment horizontal="right"/>
    </xf>
    <xf numFmtId="6" fontId="9" fillId="0" borderId="6" xfId="5" applyNumberFormat="1" applyFont="1" applyFill="1" applyBorder="1" applyAlignment="1">
      <alignment horizontal="right"/>
    </xf>
    <xf numFmtId="0" fontId="19" fillId="0" borderId="0" xfId="0" applyFont="1"/>
    <xf numFmtId="8" fontId="8" fillId="0" borderId="6" xfId="3" applyNumberFormat="1" applyFont="1" applyFill="1" applyBorder="1" applyAlignment="1">
      <alignment horizontal="right"/>
    </xf>
    <xf numFmtId="6" fontId="8" fillId="0" borderId="34" xfId="5" applyNumberFormat="1" applyFont="1" applyFill="1" applyBorder="1" applyAlignment="1">
      <alignment horizontal="right"/>
    </xf>
    <xf numFmtId="6" fontId="8" fillId="0" borderId="30" xfId="3" applyNumberFormat="1" applyFont="1" applyFill="1" applyBorder="1" applyAlignment="1">
      <alignment horizontal="right"/>
    </xf>
    <xf numFmtId="6" fontId="7" fillId="0" borderId="15" xfId="3" applyNumberFormat="1" applyFont="1" applyFill="1" applyBorder="1" applyAlignment="1">
      <alignment horizontal="right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vertical="center"/>
    </xf>
    <xf numFmtId="10" fontId="0" fillId="0" borderId="6" xfId="0" applyNumberFormat="1" applyBorder="1" applyAlignment="1">
      <alignment vertical="center" wrapText="1"/>
    </xf>
    <xf numFmtId="0" fontId="0" fillId="4" borderId="0" xfId="0" applyFill="1" applyAlignment="1">
      <alignment vertical="center" wrapText="1"/>
    </xf>
    <xf numFmtId="6" fontId="0" fillId="4" borderId="0" xfId="0" applyNumberFormat="1" applyFill="1" applyAlignment="1">
      <alignment vertical="center" wrapText="1"/>
    </xf>
    <xf numFmtId="6" fontId="16" fillId="4" borderId="35" xfId="0" applyNumberFormat="1" applyFont="1" applyFill="1" applyBorder="1" applyAlignment="1">
      <alignment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9" fontId="7" fillId="0" borderId="0" xfId="3" applyNumberFormat="1" applyFont="1"/>
    <xf numFmtId="0" fontId="23" fillId="0" borderId="0" xfId="3" applyFont="1" applyAlignment="1">
      <alignment horizontal="center"/>
    </xf>
    <xf numFmtId="0" fontId="1" fillId="0" borderId="0" xfId="3"/>
    <xf numFmtId="14" fontId="7" fillId="8" borderId="0" xfId="3" applyNumberFormat="1" applyFont="1" applyFill="1" applyAlignment="1">
      <alignment horizontal="center"/>
    </xf>
    <xf numFmtId="0" fontId="7" fillId="0" borderId="0" xfId="3" applyFont="1" applyAlignment="1">
      <alignment horizontal="center" vertical="center" wrapText="1"/>
    </xf>
    <xf numFmtId="9" fontId="7" fillId="0" borderId="0" xfId="2" applyFont="1" applyFill="1"/>
    <xf numFmtId="14" fontId="7" fillId="0" borderId="0" xfId="3" applyNumberFormat="1" applyFont="1"/>
    <xf numFmtId="0" fontId="7" fillId="0" borderId="0" xfId="3" applyFont="1" applyAlignment="1">
      <alignment horizontal="left"/>
    </xf>
    <xf numFmtId="170" fontId="0" fillId="0" borderId="6" xfId="0" applyNumberFormat="1" applyBorder="1" applyAlignment="1">
      <alignment vertical="center" wrapText="1"/>
    </xf>
    <xf numFmtId="0" fontId="6" fillId="0" borderId="0" xfId="3" applyFont="1" applyBorder="1"/>
    <xf numFmtId="10" fontId="5" fillId="0" borderId="19" xfId="3" applyNumberFormat="1" applyFont="1" applyFill="1" applyBorder="1" applyAlignment="1">
      <alignment horizontal="center"/>
    </xf>
    <xf numFmtId="5" fontId="6" fillId="0" borderId="6" xfId="3" applyNumberFormat="1" applyFont="1" applyFill="1" applyBorder="1" applyAlignment="1">
      <alignment horizontal="right"/>
    </xf>
    <xf numFmtId="6" fontId="9" fillId="0" borderId="32" xfId="5" applyNumberFormat="1" applyFont="1" applyFill="1" applyBorder="1" applyAlignment="1">
      <alignment horizontal="right"/>
    </xf>
    <xf numFmtId="171" fontId="7" fillId="0" borderId="0" xfId="3" applyNumberFormat="1" applyFont="1"/>
    <xf numFmtId="164" fontId="7" fillId="0" borderId="6" xfId="1" applyNumberFormat="1" applyFont="1" applyBorder="1"/>
    <xf numFmtId="5" fontId="7" fillId="0" borderId="6" xfId="3" applyNumberFormat="1" applyFont="1" applyBorder="1"/>
    <xf numFmtId="0" fontId="25" fillId="0" borderId="0" xfId="0" applyFont="1" applyAlignment="1">
      <alignment vertical="center"/>
    </xf>
    <xf numFmtId="0" fontId="27" fillId="0" borderId="0" xfId="12" applyFont="1" applyAlignment="1">
      <alignment horizontal="left"/>
    </xf>
    <xf numFmtId="0" fontId="28" fillId="0" borderId="0" xfId="12" applyFont="1"/>
    <xf numFmtId="0" fontId="29" fillId="0" borderId="0" xfId="12" applyFont="1" applyAlignment="1">
      <alignment horizontal="center"/>
    </xf>
    <xf numFmtId="172" fontId="28" fillId="0" borderId="0" xfId="12" applyNumberFormat="1" applyFont="1" applyAlignment="1" applyProtection="1">
      <alignment horizontal="right"/>
      <protection locked="0"/>
    </xf>
    <xf numFmtId="0" fontId="30" fillId="0" borderId="6" xfId="12" applyFont="1" applyBorder="1" applyAlignment="1">
      <alignment horizontal="left"/>
    </xf>
    <xf numFmtId="0" fontId="27" fillId="0" borderId="6" xfId="12" applyFont="1" applyBorder="1"/>
    <xf numFmtId="172" fontId="29" fillId="0" borderId="6" xfId="12" applyNumberFormat="1" applyFont="1" applyBorder="1" applyAlignment="1" applyProtection="1">
      <alignment horizontal="center"/>
      <protection locked="0"/>
    </xf>
    <xf numFmtId="172" fontId="28" fillId="0" borderId="6" xfId="12" applyNumberFormat="1" applyFont="1" applyBorder="1" applyAlignment="1" applyProtection="1">
      <alignment horizontal="center"/>
      <protection locked="0"/>
    </xf>
    <xf numFmtId="0" fontId="28" fillId="0" borderId="6" xfId="12" applyFont="1" applyBorder="1" applyAlignment="1">
      <alignment horizontal="center"/>
    </xf>
    <xf numFmtId="0" fontId="28" fillId="0" borderId="6" xfId="12" applyFont="1" applyBorder="1" applyAlignment="1">
      <alignment horizontal="center" wrapText="1"/>
    </xf>
    <xf numFmtId="3" fontId="28" fillId="0" borderId="6" xfId="12" applyNumberFormat="1" applyFont="1" applyBorder="1" applyAlignment="1" applyProtection="1">
      <alignment horizontal="center"/>
      <protection locked="0"/>
    </xf>
    <xf numFmtId="0" fontId="28" fillId="0" borderId="6" xfId="12" applyFont="1" applyBorder="1"/>
    <xf numFmtId="3" fontId="28" fillId="0" borderId="6" xfId="12" applyNumberFormat="1" applyFont="1" applyBorder="1" applyAlignment="1" applyProtection="1">
      <alignment horizontal="right"/>
      <protection locked="0"/>
    </xf>
    <xf numFmtId="164" fontId="28" fillId="0" borderId="6" xfId="11" applyNumberFormat="1" applyFont="1" applyBorder="1" applyAlignment="1" applyProtection="1">
      <alignment horizontal="right"/>
      <protection locked="0"/>
    </xf>
    <xf numFmtId="164" fontId="28" fillId="0" borderId="6" xfId="11" applyNumberFormat="1" applyFont="1" applyBorder="1" applyAlignment="1" applyProtection="1">
      <alignment horizontal="center"/>
      <protection locked="0"/>
    </xf>
    <xf numFmtId="164" fontId="28" fillId="0" borderId="6" xfId="11" applyNumberFormat="1" applyFont="1" applyBorder="1" applyAlignment="1">
      <alignment horizontal="right"/>
    </xf>
    <xf numFmtId="164" fontId="28" fillId="0" borderId="6" xfId="11" applyNumberFormat="1" applyFont="1" applyBorder="1"/>
    <xf numFmtId="164" fontId="28" fillId="0" borderId="6" xfId="11" applyNumberFormat="1" applyFont="1" applyBorder="1" applyAlignment="1">
      <alignment horizontal="center"/>
    </xf>
    <xf numFmtId="164" fontId="28" fillId="5" borderId="6" xfId="11" applyNumberFormat="1" applyFont="1" applyFill="1" applyBorder="1"/>
    <xf numFmtId="0" fontId="2" fillId="0" borderId="0" xfId="4" applyAlignment="1" applyProtection="1"/>
    <xf numFmtId="0" fontId="16" fillId="0" borderId="6" xfId="0" applyFont="1" applyBorder="1" applyAlignment="1">
      <alignment horizontal="center" vertical="center" wrapText="1"/>
    </xf>
    <xf numFmtId="0" fontId="17" fillId="0" borderId="6" xfId="10" applyBorder="1"/>
    <xf numFmtId="170" fontId="7" fillId="0" borderId="0" xfId="2" applyNumberFormat="1" applyFont="1"/>
    <xf numFmtId="0" fontId="32" fillId="0" borderId="0" xfId="13" applyAlignment="1">
      <alignment horizontal="left" wrapText="1"/>
    </xf>
    <xf numFmtId="0" fontId="32" fillId="0" borderId="0" xfId="13" applyAlignment="1">
      <alignment horizontal="left" vertical="top"/>
    </xf>
    <xf numFmtId="0" fontId="32" fillId="0" borderId="0" xfId="13" applyAlignment="1">
      <alignment horizontal="left" vertical="center" wrapText="1"/>
    </xf>
    <xf numFmtId="0" fontId="32" fillId="10" borderId="40" xfId="13" applyFill="1" applyBorder="1" applyAlignment="1">
      <alignment horizontal="left" wrapText="1"/>
    </xf>
    <xf numFmtId="0" fontId="32" fillId="0" borderId="40" xfId="13" applyBorder="1" applyAlignment="1">
      <alignment horizontal="left" wrapText="1"/>
    </xf>
    <xf numFmtId="0" fontId="36" fillId="0" borderId="40" xfId="13" applyFont="1" applyBorder="1" applyAlignment="1">
      <alignment horizontal="center" vertical="top" wrapText="1"/>
    </xf>
    <xf numFmtId="0" fontId="36" fillId="11" borderId="40" xfId="13" applyFont="1" applyFill="1" applyBorder="1" applyAlignment="1">
      <alignment horizontal="left" vertical="top" wrapText="1"/>
    </xf>
    <xf numFmtId="173" fontId="17" fillId="0" borderId="40" xfId="13" applyNumberFormat="1" applyFont="1" applyBorder="1" applyAlignment="1">
      <alignment horizontal="center" vertical="top" shrinkToFit="1"/>
    </xf>
    <xf numFmtId="0" fontId="37" fillId="0" borderId="0" xfId="10" applyFont="1" applyAlignment="1">
      <alignment horizontal="left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9" fillId="4" borderId="0" xfId="10" applyFont="1" applyFill="1"/>
    <xf numFmtId="0" fontId="40" fillId="0" borderId="0" xfId="0" applyFont="1" applyAlignment="1">
      <alignment horizontal="center" vertical="center" wrapText="1"/>
    </xf>
    <xf numFmtId="0" fontId="41" fillId="0" borderId="0" xfId="10" applyFont="1"/>
    <xf numFmtId="6" fontId="40" fillId="4" borderId="0" xfId="0" applyNumberFormat="1" applyFont="1" applyFill="1" applyAlignment="1">
      <alignment vertical="center" wrapText="1"/>
    </xf>
    <xf numFmtId="6" fontId="38" fillId="4" borderId="35" xfId="0" applyNumberFormat="1" applyFont="1" applyFill="1" applyBorder="1" applyAlignment="1">
      <alignment vertical="center" wrapText="1"/>
    </xf>
    <xf numFmtId="6" fontId="40" fillId="0" borderId="0" xfId="0" applyNumberFormat="1" applyFont="1" applyAlignment="1">
      <alignment vertical="center" wrapText="1"/>
    </xf>
    <xf numFmtId="8" fontId="40" fillId="0" borderId="0" xfId="0" applyNumberFormat="1" applyFont="1" applyAlignment="1">
      <alignment vertical="center" wrapText="1"/>
    </xf>
    <xf numFmtId="0" fontId="20" fillId="4" borderId="0" xfId="0" applyFont="1" applyFill="1" applyAlignment="1">
      <alignment vertical="center"/>
    </xf>
    <xf numFmtId="0" fontId="17" fillId="4" borderId="0" xfId="10" applyFill="1"/>
    <xf numFmtId="0" fontId="16" fillId="4" borderId="0" xfId="0" applyFont="1" applyFill="1" applyAlignment="1">
      <alignment vertical="center" wrapText="1"/>
    </xf>
    <xf numFmtId="8" fontId="0" fillId="4" borderId="0" xfId="0" applyNumberFormat="1" applyFill="1" applyAlignment="1">
      <alignment vertical="center" wrapText="1"/>
    </xf>
    <xf numFmtId="0" fontId="18" fillId="4" borderId="0" xfId="10" applyFont="1" applyFill="1" applyAlignment="1">
      <alignment horizontal="center"/>
    </xf>
    <xf numFmtId="0" fontId="18" fillId="4" borderId="6" xfId="10" applyFont="1" applyFill="1" applyBorder="1" applyAlignment="1">
      <alignment horizontal="center"/>
    </xf>
    <xf numFmtId="10" fontId="17" fillId="0" borderId="6" xfId="10" applyNumberFormat="1" applyBorder="1"/>
    <xf numFmtId="0" fontId="43" fillId="9" borderId="44" xfId="0" applyFont="1" applyFill="1" applyBorder="1" applyAlignment="1">
      <alignment vertical="top"/>
    </xf>
    <xf numFmtId="0" fontId="42" fillId="4" borderId="43" xfId="0" applyFont="1" applyFill="1" applyBorder="1" applyAlignment="1">
      <alignment horizontal="left" vertical="center"/>
    </xf>
    <xf numFmtId="0" fontId="2" fillId="4" borderId="0" xfId="4" applyFill="1" applyAlignment="1" applyProtection="1"/>
    <xf numFmtId="0" fontId="2" fillId="0" borderId="0" xfId="4" applyAlignment="1" applyProtection="1">
      <alignment horizontal="left"/>
    </xf>
    <xf numFmtId="0" fontId="37" fillId="4" borderId="6" xfId="10" applyFont="1" applyFill="1" applyBorder="1" applyAlignment="1">
      <alignment horizontal="left"/>
    </xf>
    <xf numFmtId="0" fontId="5" fillId="0" borderId="19" xfId="3" applyFont="1" applyBorder="1" applyAlignment="1">
      <alignment horizontal="center"/>
    </xf>
    <xf numFmtId="0" fontId="7" fillId="0" borderId="19" xfId="3" applyFont="1" applyBorder="1" applyAlignment="1">
      <alignment horizontal="left" indent="4"/>
    </xf>
    <xf numFmtId="0" fontId="5" fillId="3" borderId="19" xfId="3" applyFont="1" applyFill="1" applyBorder="1" applyAlignment="1">
      <alignment horizontal="center"/>
    </xf>
    <xf numFmtId="167" fontId="7" fillId="0" borderId="0" xfId="3" applyNumberFormat="1" applyFont="1" applyFill="1" applyBorder="1"/>
    <xf numFmtId="5" fontId="7" fillId="0" borderId="0" xfId="3" applyNumberFormat="1" applyFont="1" applyBorder="1"/>
    <xf numFmtId="5" fontId="7" fillId="0" borderId="15" xfId="3" applyNumberFormat="1" applyFont="1" applyBorder="1"/>
    <xf numFmtId="0" fontId="7" fillId="0" borderId="6" xfId="3" applyFont="1" applyBorder="1"/>
    <xf numFmtId="0" fontId="7" fillId="0" borderId="6" xfId="3" applyFont="1" applyBorder="1" applyAlignment="1">
      <alignment horizontal="left" indent="2"/>
    </xf>
    <xf numFmtId="0" fontId="6" fillId="0" borderId="6" xfId="3" applyFont="1" applyBorder="1"/>
    <xf numFmtId="5" fontId="6" fillId="0" borderId="6" xfId="3" applyNumberFormat="1" applyFont="1" applyBorder="1"/>
    <xf numFmtId="0" fontId="7" fillId="0" borderId="6" xfId="3" applyFont="1" applyBorder="1" applyAlignment="1">
      <alignment horizontal="center"/>
    </xf>
    <xf numFmtId="0" fontId="10" fillId="0" borderId="0" xfId="3" applyFont="1"/>
    <xf numFmtId="6" fontId="7" fillId="0" borderId="15" xfId="3" applyNumberFormat="1" applyFont="1" applyFill="1" applyBorder="1"/>
    <xf numFmtId="0" fontId="7" fillId="0" borderId="0" xfId="3" applyFont="1" applyBorder="1" applyAlignment="1">
      <alignment horizontal="left" indent="1"/>
    </xf>
    <xf numFmtId="6" fontId="7" fillId="0" borderId="0" xfId="3" applyNumberFormat="1" applyFont="1" applyFill="1" applyBorder="1"/>
    <xf numFmtId="6" fontId="7" fillId="3" borderId="0" xfId="3" applyNumberFormat="1" applyFont="1" applyFill="1" applyBorder="1"/>
    <xf numFmtId="0" fontId="5" fillId="0" borderId="0" xfId="3" applyFont="1" applyFill="1"/>
    <xf numFmtId="6" fontId="5" fillId="0" borderId="0" xfId="3" applyNumberFormat="1" applyFont="1" applyFill="1" applyAlignment="1">
      <alignment horizontal="right"/>
    </xf>
    <xf numFmtId="0" fontId="7" fillId="0" borderId="0" xfId="3" applyFont="1" applyFill="1"/>
    <xf numFmtId="6" fontId="7" fillId="0" borderId="0" xfId="3" applyNumberFormat="1" applyFont="1" applyFill="1" applyAlignment="1">
      <alignment horizontal="right"/>
    </xf>
    <xf numFmtId="0" fontId="7" fillId="0" borderId="15" xfId="3" applyFont="1" applyBorder="1" applyAlignment="1">
      <alignment horizontal="left"/>
    </xf>
    <xf numFmtId="0" fontId="7" fillId="0" borderId="0" xfId="3" applyFont="1" applyFill="1" applyBorder="1" applyAlignment="1">
      <alignment horizontal="center" wrapText="1"/>
    </xf>
    <xf numFmtId="10" fontId="7" fillId="0" borderId="0" xfId="3" applyNumberFormat="1" applyFont="1" applyFill="1" applyBorder="1" applyAlignment="1">
      <alignment horizontal="center"/>
    </xf>
    <xf numFmtId="6" fontId="7" fillId="0" borderId="0" xfId="3" applyNumberFormat="1" applyFont="1" applyBorder="1"/>
    <xf numFmtId="10" fontId="7" fillId="0" borderId="15" xfId="3" applyNumberFormat="1" applyFont="1" applyFill="1" applyBorder="1" applyAlignment="1">
      <alignment horizontal="center"/>
    </xf>
    <xf numFmtId="0" fontId="7" fillId="0" borderId="46" xfId="3" applyFont="1" applyBorder="1"/>
    <xf numFmtId="6" fontId="7" fillId="0" borderId="17" xfId="3" applyNumberFormat="1" applyFont="1" applyBorder="1"/>
    <xf numFmtId="6" fontId="7" fillId="3" borderId="17" xfId="3" applyNumberFormat="1" applyFont="1" applyFill="1" applyBorder="1"/>
    <xf numFmtId="0" fontId="6" fillId="0" borderId="16" xfId="3" applyFont="1" applyFill="1" applyBorder="1"/>
    <xf numFmtId="6" fontId="7" fillId="3" borderId="47" xfId="3" applyNumberFormat="1" applyFont="1" applyFill="1" applyBorder="1"/>
    <xf numFmtId="0" fontId="11" fillId="0" borderId="16" xfId="3" applyFont="1" applyBorder="1"/>
    <xf numFmtId="0" fontId="6" fillId="0" borderId="0" xfId="3" applyFont="1" applyFill="1" applyBorder="1" applyAlignment="1">
      <alignment horizontal="left"/>
    </xf>
    <xf numFmtId="6" fontId="6" fillId="0" borderId="0" xfId="3" applyNumberFormat="1" applyFont="1" applyFill="1" applyBorder="1"/>
    <xf numFmtId="6" fontId="6" fillId="0" borderId="17" xfId="3" applyNumberFormat="1" applyFont="1" applyFill="1" applyBorder="1"/>
    <xf numFmtId="5" fontId="7" fillId="0" borderId="0" xfId="3" applyNumberFormat="1" applyFont="1" applyFill="1" applyBorder="1"/>
    <xf numFmtId="0" fontId="7" fillId="0" borderId="16" xfId="3" applyFont="1" applyBorder="1" applyAlignment="1">
      <alignment horizontal="left" indent="1"/>
    </xf>
    <xf numFmtId="6" fontId="7" fillId="0" borderId="47" xfId="3" applyNumberFormat="1" applyFont="1" applyBorder="1"/>
    <xf numFmtId="0" fontId="5" fillId="0" borderId="29" xfId="3" applyFont="1" applyFill="1" applyBorder="1"/>
    <xf numFmtId="0" fontId="5" fillId="0" borderId="28" xfId="3" applyFont="1" applyFill="1" applyBorder="1"/>
    <xf numFmtId="6" fontId="5" fillId="0" borderId="28" xfId="3" applyNumberFormat="1" applyFont="1" applyFill="1" applyBorder="1"/>
    <xf numFmtId="6" fontId="5" fillId="0" borderId="27" xfId="3" applyNumberFormat="1" applyFont="1" applyFill="1" applyBorder="1"/>
    <xf numFmtId="0" fontId="6" fillId="0" borderId="19" xfId="3" applyFont="1" applyFill="1" applyBorder="1"/>
    <xf numFmtId="6" fontId="6" fillId="0" borderId="19" xfId="3" applyNumberFormat="1" applyFont="1" applyFill="1" applyBorder="1"/>
    <xf numFmtId="6" fontId="6" fillId="0" borderId="48" xfId="3" applyNumberFormat="1" applyFont="1" applyFill="1" applyBorder="1"/>
    <xf numFmtId="0" fontId="6" fillId="0" borderId="19" xfId="3" applyFont="1" applyFill="1" applyBorder="1" applyAlignment="1">
      <alignment horizontal="left"/>
    </xf>
    <xf numFmtId="0" fontId="7" fillId="0" borderId="19" xfId="3" applyFont="1" applyFill="1" applyBorder="1"/>
    <xf numFmtId="6" fontId="7" fillId="0" borderId="19" xfId="3" applyNumberFormat="1" applyFont="1" applyFill="1" applyBorder="1"/>
    <xf numFmtId="0" fontId="23" fillId="0" borderId="45" xfId="3" applyFont="1" applyBorder="1"/>
    <xf numFmtId="0" fontId="23" fillId="0" borderId="16" xfId="3" applyFont="1" applyBorder="1"/>
    <xf numFmtId="0" fontId="7" fillId="0" borderId="16" xfId="3" applyFont="1" applyFill="1" applyBorder="1" applyAlignment="1">
      <alignment horizontal="left" indent="1"/>
    </xf>
    <xf numFmtId="0" fontId="6" fillId="0" borderId="12" xfId="3" applyFont="1" applyFill="1" applyBorder="1"/>
    <xf numFmtId="6" fontId="6" fillId="0" borderId="11" xfId="3" applyNumberFormat="1" applyFont="1" applyFill="1" applyBorder="1"/>
    <xf numFmtId="6" fontId="7" fillId="0" borderId="5" xfId="3" applyNumberFormat="1" applyFont="1" applyBorder="1"/>
    <xf numFmtId="0" fontId="7" fillId="0" borderId="12" xfId="3" applyFont="1" applyBorder="1"/>
    <xf numFmtId="0" fontId="7" fillId="0" borderId="13" xfId="3" applyFont="1" applyBorder="1"/>
    <xf numFmtId="0" fontId="7" fillId="0" borderId="50" xfId="3" applyFont="1" applyBorder="1"/>
    <xf numFmtId="0" fontId="6" fillId="0" borderId="51" xfId="3" applyFont="1" applyBorder="1" applyAlignment="1">
      <alignment horizontal="center"/>
    </xf>
    <xf numFmtId="5" fontId="7" fillId="0" borderId="36" xfId="3" applyNumberFormat="1" applyFont="1" applyBorder="1" applyAlignment="1">
      <alignment horizontal="right"/>
    </xf>
    <xf numFmtId="0" fontId="6" fillId="0" borderId="26" xfId="3" applyFont="1" applyBorder="1" applyAlignment="1">
      <alignment horizontal="center"/>
    </xf>
    <xf numFmtId="0" fontId="45" fillId="0" borderId="0" xfId="0" applyFont="1"/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7" fillId="0" borderId="6" xfId="3" applyFont="1" applyBorder="1" applyAlignment="1"/>
    <xf numFmtId="0" fontId="6" fillId="4" borderId="6" xfId="3" applyFont="1" applyFill="1" applyBorder="1"/>
    <xf numFmtId="164" fontId="6" fillId="4" borderId="6" xfId="3" applyNumberFormat="1" applyFont="1" applyFill="1" applyBorder="1"/>
    <xf numFmtId="5" fontId="6" fillId="4" borderId="6" xfId="3" applyNumberFormat="1" applyFont="1" applyFill="1" applyBorder="1"/>
    <xf numFmtId="0" fontId="6" fillId="0" borderId="25" xfId="3" applyFont="1" applyBorder="1" applyAlignment="1">
      <alignment horizontal="center"/>
    </xf>
    <xf numFmtId="0" fontId="7" fillId="0" borderId="23" xfId="3" applyFont="1" applyBorder="1" applyAlignment="1">
      <alignment horizontal="right"/>
    </xf>
    <xf numFmtId="0" fontId="6" fillId="0" borderId="22" xfId="3" applyFont="1" applyBorder="1" applyAlignment="1">
      <alignment horizontal="center"/>
    </xf>
    <xf numFmtId="166" fontId="10" fillId="0" borderId="19" xfId="3" applyNumberFormat="1" applyFont="1" applyBorder="1" applyAlignment="1">
      <alignment horizontal="left" indent="2"/>
    </xf>
    <xf numFmtId="5" fontId="7" fillId="0" borderId="52" xfId="3" applyNumberFormat="1" applyFont="1" applyBorder="1" applyAlignment="1">
      <alignment horizontal="right"/>
    </xf>
    <xf numFmtId="166" fontId="8" fillId="0" borderId="19" xfId="3" applyNumberFormat="1" applyFont="1" applyBorder="1" applyAlignment="1">
      <alignment horizontal="left" indent="2"/>
    </xf>
    <xf numFmtId="6" fontId="6" fillId="0" borderId="16" xfId="3" applyNumberFormat="1" applyFont="1" applyBorder="1" applyAlignment="1">
      <alignment horizontal="right"/>
    </xf>
    <xf numFmtId="167" fontId="7" fillId="3" borderId="0" xfId="3" applyNumberFormat="1" applyFont="1" applyFill="1"/>
    <xf numFmtId="6" fontId="7" fillId="0" borderId="16" xfId="3" applyNumberFormat="1" applyFont="1" applyBorder="1" applyAlignment="1">
      <alignment horizontal="right"/>
    </xf>
    <xf numFmtId="6" fontId="7" fillId="0" borderId="15" xfId="3" applyNumberFormat="1" applyFont="1" applyBorder="1" applyAlignment="1">
      <alignment horizontal="right"/>
    </xf>
    <xf numFmtId="6" fontId="8" fillId="0" borderId="32" xfId="3" applyNumberFormat="1" applyFont="1" applyBorder="1" applyAlignment="1">
      <alignment horizontal="right"/>
    </xf>
    <xf numFmtId="6" fontId="8" fillId="0" borderId="30" xfId="3" applyNumberFormat="1" applyFont="1" applyBorder="1" applyAlignment="1">
      <alignment horizontal="right"/>
    </xf>
    <xf numFmtId="6" fontId="8" fillId="0" borderId="6" xfId="3" applyNumberFormat="1" applyFont="1" applyBorder="1" applyAlignment="1">
      <alignment horizontal="right"/>
    </xf>
    <xf numFmtId="8" fontId="8" fillId="0" borderId="6" xfId="3" applyNumberFormat="1" applyFont="1" applyBorder="1" applyAlignment="1">
      <alignment horizontal="right"/>
    </xf>
    <xf numFmtId="6" fontId="8" fillId="0" borderId="7" xfId="3" applyNumberFormat="1" applyFont="1" applyBorder="1" applyAlignment="1">
      <alignment horizontal="right"/>
    </xf>
    <xf numFmtId="0" fontId="6" fillId="3" borderId="0" xfId="3" applyFont="1" applyFill="1"/>
    <xf numFmtId="0" fontId="7" fillId="3" borderId="0" xfId="3" applyFont="1" applyFill="1"/>
    <xf numFmtId="0" fontId="7" fillId="0" borderId="0" xfId="3" applyFont="1" applyAlignment="1">
      <alignment horizontal="left" indent="2"/>
    </xf>
    <xf numFmtId="5" fontId="7" fillId="0" borderId="0" xfId="3" applyNumberFormat="1" applyFont="1" applyAlignment="1">
      <alignment horizontal="left"/>
    </xf>
    <xf numFmtId="165" fontId="7" fillId="0" borderId="0" xfId="3" applyNumberFormat="1" applyFont="1"/>
    <xf numFmtId="5" fontId="6" fillId="0" borderId="14" xfId="3" applyNumberFormat="1" applyFont="1" applyBorder="1" applyAlignment="1">
      <alignment horizontal="right"/>
    </xf>
    <xf numFmtId="6" fontId="6" fillId="0" borderId="12" xfId="3" applyNumberFormat="1" applyFont="1" applyBorder="1" applyAlignment="1">
      <alignment horizontal="right"/>
    </xf>
    <xf numFmtId="0" fontId="6" fillId="0" borderId="13" xfId="3" applyFont="1" applyBorder="1"/>
    <xf numFmtId="5" fontId="6" fillId="0" borderId="0" xfId="3" applyNumberFormat="1" applyFont="1" applyAlignment="1">
      <alignment horizontal="right"/>
    </xf>
    <xf numFmtId="174" fontId="6" fillId="0" borderId="0" xfId="2" applyNumberFormat="1" applyFont="1" applyFill="1" applyAlignment="1">
      <alignment horizontal="right"/>
    </xf>
    <xf numFmtId="6" fontId="6" fillId="0" borderId="0" xfId="3" applyNumberFormat="1" applyFont="1"/>
    <xf numFmtId="6" fontId="6" fillId="0" borderId="0" xfId="3" applyNumberFormat="1" applyFont="1" applyAlignment="1">
      <alignment horizontal="center"/>
    </xf>
    <xf numFmtId="0" fontId="6" fillId="5" borderId="0" xfId="3" applyFont="1" applyFill="1"/>
    <xf numFmtId="5" fontId="6" fillId="5" borderId="0" xfId="3" applyNumberFormat="1" applyFont="1" applyFill="1" applyAlignment="1">
      <alignment horizontal="right"/>
    </xf>
    <xf numFmtId="6" fontId="6" fillId="0" borderId="6" xfId="3" applyNumberFormat="1" applyFont="1" applyBorder="1" applyAlignment="1">
      <alignment horizontal="center"/>
    </xf>
    <xf numFmtId="5" fontId="10" fillId="0" borderId="0" xfId="3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46" fillId="0" borderId="0" xfId="3" applyFont="1"/>
    <xf numFmtId="0" fontId="40" fillId="0" borderId="16" xfId="3" applyFont="1" applyFill="1" applyBorder="1"/>
    <xf numFmtId="0" fontId="7" fillId="0" borderId="16" xfId="3" applyFont="1" applyFill="1" applyBorder="1"/>
    <xf numFmtId="0" fontId="10" fillId="3" borderId="19" xfId="3" applyFont="1" applyFill="1" applyBorder="1" applyAlignment="1">
      <alignment horizontal="center"/>
    </xf>
    <xf numFmtId="169" fontId="5" fillId="3" borderId="0" xfId="3" applyNumberFormat="1" applyFont="1" applyFill="1" applyAlignment="1">
      <alignment horizontal="center"/>
    </xf>
    <xf numFmtId="5" fontId="6" fillId="3" borderId="4" xfId="3" applyNumberFormat="1" applyFont="1" applyFill="1" applyBorder="1" applyAlignment="1">
      <alignment horizontal="right"/>
    </xf>
    <xf numFmtId="14" fontId="7" fillId="0" borderId="0" xfId="3" applyNumberFormat="1" applyFont="1" applyAlignment="1">
      <alignment horizontal="center"/>
    </xf>
    <xf numFmtId="14" fontId="7" fillId="0" borderId="15" xfId="3" applyNumberFormat="1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170" fontId="17" fillId="0" borderId="6" xfId="10" applyNumberFormat="1" applyBorder="1"/>
    <xf numFmtId="0" fontId="6" fillId="0" borderId="11" xfId="3" applyFont="1" applyFill="1" applyBorder="1"/>
    <xf numFmtId="5" fontId="6" fillId="0" borderId="10" xfId="3" applyNumberFormat="1" applyFont="1" applyFill="1" applyBorder="1" applyAlignment="1">
      <alignment horizontal="right"/>
    </xf>
    <xf numFmtId="6" fontId="6" fillId="13" borderId="49" xfId="3" applyNumberFormat="1" applyFont="1" applyFill="1" applyBorder="1"/>
    <xf numFmtId="6" fontId="6" fillId="13" borderId="5" xfId="3" applyNumberFormat="1" applyFont="1" applyFill="1" applyBorder="1"/>
    <xf numFmtId="166" fontId="7" fillId="0" borderId="15" xfId="3" applyNumberFormat="1" applyFont="1" applyFill="1" applyBorder="1" applyAlignment="1">
      <alignment horizontal="left" indent="2"/>
    </xf>
    <xf numFmtId="166" fontId="5" fillId="0" borderId="19" xfId="3" applyNumberFormat="1" applyFont="1" applyFill="1" applyBorder="1" applyAlignment="1">
      <alignment horizontal="left" indent="1"/>
    </xf>
    <xf numFmtId="6" fontId="7" fillId="0" borderId="6" xfId="3" applyNumberFormat="1" applyFont="1" applyFill="1" applyBorder="1" applyAlignment="1">
      <alignment horizontal="center"/>
    </xf>
    <xf numFmtId="0" fontId="7" fillId="0" borderId="26" xfId="3" applyFont="1" applyBorder="1" applyAlignment="1">
      <alignment horizontal="center"/>
    </xf>
    <xf numFmtId="5" fontId="6" fillId="14" borderId="9" xfId="3" applyNumberFormat="1" applyFont="1" applyFill="1" applyBorder="1" applyAlignment="1">
      <alignment horizontal="right"/>
    </xf>
    <xf numFmtId="6" fontId="6" fillId="0" borderId="53" xfId="3" applyNumberFormat="1" applyFont="1" applyFill="1" applyBorder="1" applyAlignment="1">
      <alignment horizontal="center" wrapText="1"/>
    </xf>
    <xf numFmtId="0" fontId="9" fillId="0" borderId="17" xfId="3" applyFont="1" applyFill="1" applyBorder="1"/>
    <xf numFmtId="6" fontId="6" fillId="0" borderId="13" xfId="3" applyNumberFormat="1" applyFont="1" applyBorder="1" applyAlignment="1">
      <alignment horizontal="right"/>
    </xf>
    <xf numFmtId="0" fontId="6" fillId="0" borderId="50" xfId="3" applyFont="1" applyBorder="1"/>
    <xf numFmtId="6" fontId="6" fillId="0" borderId="0" xfId="3" applyNumberFormat="1" applyFont="1" applyBorder="1" applyAlignment="1">
      <alignment horizontal="right"/>
    </xf>
    <xf numFmtId="0" fontId="7" fillId="0" borderId="19" xfId="3" applyFont="1" applyBorder="1" applyAlignment="1">
      <alignment horizontal="left"/>
    </xf>
    <xf numFmtId="0" fontId="7" fillId="0" borderId="19" xfId="3" applyFont="1" applyBorder="1" applyAlignment="1">
      <alignment horizontal="left" indent="6"/>
    </xf>
    <xf numFmtId="0" fontId="5" fillId="0" borderId="19" xfId="3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5" fontId="7" fillId="12" borderId="4" xfId="3" applyNumberFormat="1" applyFont="1" applyFill="1" applyBorder="1" applyAlignment="1">
      <alignment horizontal="right"/>
    </xf>
    <xf numFmtId="0" fontId="6" fillId="0" borderId="21" xfId="3" applyFont="1" applyBorder="1"/>
    <xf numFmtId="0" fontId="7" fillId="0" borderId="18" xfId="3" applyFont="1" applyBorder="1" applyAlignment="1">
      <alignment horizontal="left"/>
    </xf>
    <xf numFmtId="0" fontId="7" fillId="0" borderId="30" xfId="3" applyFont="1" applyFill="1" applyBorder="1" applyAlignment="1">
      <alignment horizontal="right"/>
    </xf>
    <xf numFmtId="0" fontId="6" fillId="0" borderId="30" xfId="3" applyFont="1" applyBorder="1" applyAlignment="1">
      <alignment horizontal="center"/>
    </xf>
    <xf numFmtId="0" fontId="6" fillId="0" borderId="54" xfId="3" applyFont="1" applyFill="1" applyBorder="1" applyAlignment="1">
      <alignment horizontal="center"/>
    </xf>
    <xf numFmtId="0" fontId="6" fillId="0" borderId="55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6" fillId="0" borderId="56" xfId="3" applyFont="1" applyBorder="1" applyAlignment="1">
      <alignment horizontal="center"/>
    </xf>
    <xf numFmtId="0" fontId="6" fillId="0" borderId="57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0" fontId="6" fillId="15" borderId="5" xfId="3" applyFont="1" applyFill="1" applyBorder="1"/>
    <xf numFmtId="10" fontId="6" fillId="15" borderId="5" xfId="2" applyNumberFormat="1" applyFont="1" applyFill="1" applyBorder="1"/>
    <xf numFmtId="9" fontId="6" fillId="15" borderId="5" xfId="2" applyNumberFormat="1" applyFont="1" applyFill="1" applyBorder="1"/>
    <xf numFmtId="9" fontId="6" fillId="15" borderId="5" xfId="2" applyFont="1" applyFill="1" applyBorder="1"/>
    <xf numFmtId="6" fontId="7" fillId="0" borderId="0" xfId="3" applyNumberFormat="1" applyFont="1" applyBorder="1" applyAlignment="1">
      <alignment horizontal="right"/>
    </xf>
    <xf numFmtId="0" fontId="6" fillId="3" borderId="0" xfId="3" applyFont="1" applyFill="1" applyBorder="1"/>
    <xf numFmtId="0" fontId="7" fillId="3" borderId="0" xfId="3" applyFont="1" applyFill="1" applyBorder="1"/>
    <xf numFmtId="6" fontId="6" fillId="14" borderId="6" xfId="3" applyNumberFormat="1" applyFont="1" applyFill="1" applyBorder="1"/>
    <xf numFmtId="0" fontId="6" fillId="14" borderId="6" xfId="3" applyFont="1" applyFill="1" applyBorder="1"/>
    <xf numFmtId="5" fontId="6" fillId="14" borderId="6" xfId="3" applyNumberFormat="1" applyFont="1" applyFill="1" applyBorder="1" applyAlignment="1">
      <alignment horizontal="right"/>
    </xf>
    <xf numFmtId="14" fontId="6" fillId="0" borderId="0" xfId="3" applyNumberFormat="1" applyFont="1"/>
    <xf numFmtId="0" fontId="6" fillId="17" borderId="28" xfId="3" applyFont="1" applyFill="1" applyBorder="1"/>
    <xf numFmtId="0" fontId="7" fillId="0" borderId="45" xfId="3" applyFont="1" applyBorder="1"/>
    <xf numFmtId="0" fontId="6" fillId="0" borderId="28" xfId="3" applyFont="1" applyBorder="1" applyAlignment="1">
      <alignment horizontal="center"/>
    </xf>
    <xf numFmtId="6" fontId="6" fillId="0" borderId="53" xfId="3" applyNumberFormat="1" applyFont="1" applyBorder="1" applyAlignment="1">
      <alignment horizontal="center" wrapText="1"/>
    </xf>
    <xf numFmtId="6" fontId="6" fillId="0" borderId="26" xfId="3" applyNumberFormat="1" applyFont="1" applyBorder="1" applyAlignment="1">
      <alignment horizontal="center"/>
    </xf>
    <xf numFmtId="0" fontId="6" fillId="0" borderId="60" xfId="3" applyFont="1" applyBorder="1" applyAlignment="1">
      <alignment horizontal="center"/>
    </xf>
    <xf numFmtId="0" fontId="6" fillId="0" borderId="61" xfId="3" applyFont="1" applyBorder="1" applyAlignment="1">
      <alignment horizontal="center"/>
    </xf>
    <xf numFmtId="0" fontId="6" fillId="0" borderId="53" xfId="3" applyFont="1" applyBorder="1" applyAlignment="1">
      <alignment horizontal="center"/>
    </xf>
    <xf numFmtId="0" fontId="7" fillId="0" borderId="62" xfId="3" applyFont="1" applyBorder="1" applyAlignment="1">
      <alignment horizontal="right"/>
    </xf>
    <xf numFmtId="6" fontId="7" fillId="0" borderId="16" xfId="3" applyNumberFormat="1" applyFont="1" applyBorder="1" applyAlignment="1">
      <alignment horizontal="center"/>
    </xf>
    <xf numFmtId="6" fontId="7" fillId="0" borderId="6" xfId="3" applyNumberFormat="1" applyFont="1" applyBorder="1" applyAlignment="1">
      <alignment horizontal="center"/>
    </xf>
    <xf numFmtId="166" fontId="5" fillId="0" borderId="19" xfId="3" applyNumberFormat="1" applyFont="1" applyBorder="1" applyAlignment="1">
      <alignment horizontal="left" indent="1"/>
    </xf>
    <xf numFmtId="5" fontId="7" fillId="0" borderId="7" xfId="3" applyNumberFormat="1" applyFont="1" applyBorder="1" applyAlignment="1">
      <alignment horizontal="right"/>
    </xf>
    <xf numFmtId="167" fontId="8" fillId="3" borderId="5" xfId="1" applyNumberFormat="1" applyFont="1" applyFill="1" applyBorder="1"/>
    <xf numFmtId="167" fontId="8" fillId="3" borderId="31" xfId="1" applyNumberFormat="1" applyFont="1" applyFill="1" applyBorder="1"/>
    <xf numFmtId="167" fontId="8" fillId="3" borderId="36" xfId="1" applyNumberFormat="1" applyFont="1" applyFill="1" applyBorder="1"/>
    <xf numFmtId="167" fontId="8" fillId="3" borderId="7" xfId="1" applyNumberFormat="1" applyFont="1" applyFill="1" applyBorder="1"/>
    <xf numFmtId="10" fontId="7" fillId="0" borderId="0" xfId="2" applyNumberFormat="1" applyFont="1"/>
    <xf numFmtId="166" fontId="7" fillId="0" borderId="15" xfId="3" applyNumberFormat="1" applyFont="1" applyBorder="1" applyAlignment="1">
      <alignment horizontal="left" indent="2"/>
    </xf>
    <xf numFmtId="5" fontId="7" fillId="0" borderId="63" xfId="3" applyNumberFormat="1" applyFont="1" applyBorder="1" applyAlignment="1">
      <alignment horizontal="right"/>
    </xf>
    <xf numFmtId="6" fontId="7" fillId="0" borderId="16" xfId="3" applyNumberFormat="1" applyFont="1" applyBorder="1" applyAlignment="1">
      <alignment horizontal="left"/>
    </xf>
    <xf numFmtId="6" fontId="7" fillId="0" borderId="18" xfId="3" applyNumberFormat="1" applyFont="1" applyBorder="1" applyAlignment="1">
      <alignment horizontal="right"/>
    </xf>
    <xf numFmtId="167" fontId="7" fillId="0" borderId="0" xfId="3" applyNumberFormat="1" applyFont="1"/>
    <xf numFmtId="167" fontId="7" fillId="0" borderId="17" xfId="3" applyNumberFormat="1" applyFont="1" applyBorder="1"/>
    <xf numFmtId="167" fontId="7" fillId="0" borderId="16" xfId="3" applyNumberFormat="1" applyFont="1" applyBorder="1"/>
    <xf numFmtId="0" fontId="7" fillId="2" borderId="7" xfId="3" applyFont="1" applyFill="1" applyBorder="1" applyAlignment="1">
      <alignment horizontal="right"/>
    </xf>
    <xf numFmtId="5" fontId="6" fillId="0" borderId="36" xfId="3" applyNumberFormat="1" applyFont="1" applyBorder="1" applyAlignment="1">
      <alignment horizontal="right"/>
    </xf>
    <xf numFmtId="5" fontId="6" fillId="0" borderId="7" xfId="3" applyNumberFormat="1" applyFont="1" applyBorder="1" applyAlignment="1">
      <alignment horizontal="right"/>
    </xf>
    <xf numFmtId="6" fontId="8" fillId="0" borderId="16" xfId="3" applyNumberFormat="1" applyFont="1" applyBorder="1" applyAlignment="1">
      <alignment horizontal="right"/>
    </xf>
    <xf numFmtId="8" fontId="8" fillId="0" borderId="0" xfId="3" applyNumberFormat="1" applyFont="1" applyAlignment="1">
      <alignment horizontal="right"/>
    </xf>
    <xf numFmtId="167" fontId="8" fillId="0" borderId="0" xfId="1" applyNumberFormat="1" applyFont="1" applyFill="1" applyBorder="1"/>
    <xf numFmtId="167" fontId="8" fillId="0" borderId="17" xfId="1" applyNumberFormat="1" applyFont="1" applyFill="1" applyBorder="1"/>
    <xf numFmtId="167" fontId="8" fillId="0" borderId="16" xfId="1" applyNumberFormat="1" applyFont="1" applyFill="1" applyBorder="1"/>
    <xf numFmtId="5" fontId="7" fillId="2" borderId="7" xfId="3" applyNumberFormat="1" applyFont="1" applyFill="1" applyBorder="1" applyAlignment="1">
      <alignment horizontal="right"/>
    </xf>
    <xf numFmtId="5" fontId="7" fillId="0" borderId="33" xfId="3" applyNumberFormat="1" applyFont="1" applyBorder="1" applyAlignment="1">
      <alignment horizontal="right"/>
    </xf>
    <xf numFmtId="0" fontId="7" fillId="2" borderId="64" xfId="3" applyFont="1" applyFill="1" applyBorder="1" applyAlignment="1">
      <alignment horizontal="right"/>
    </xf>
    <xf numFmtId="164" fontId="7" fillId="3" borderId="5" xfId="3" applyNumberFormat="1" applyFont="1" applyFill="1" applyBorder="1"/>
    <xf numFmtId="164" fontId="7" fillId="3" borderId="31" xfId="3" applyNumberFormat="1" applyFont="1" applyFill="1" applyBorder="1"/>
    <xf numFmtId="9" fontId="6" fillId="0" borderId="36" xfId="2" applyFont="1" applyFill="1" applyBorder="1"/>
    <xf numFmtId="164" fontId="7" fillId="3" borderId="7" xfId="3" applyNumberFormat="1" applyFont="1" applyFill="1" applyBorder="1"/>
    <xf numFmtId="9" fontId="6" fillId="0" borderId="65" xfId="2" applyFont="1" applyFill="1" applyBorder="1"/>
    <xf numFmtId="5" fontId="7" fillId="4" borderId="36" xfId="3" applyNumberFormat="1" applyFont="1" applyFill="1" applyBorder="1" applyAlignment="1">
      <alignment horizontal="right"/>
    </xf>
    <xf numFmtId="5" fontId="7" fillId="4" borderId="7" xfId="3" applyNumberFormat="1" applyFont="1" applyFill="1" applyBorder="1" applyAlignment="1">
      <alignment horizontal="right"/>
    </xf>
    <xf numFmtId="10" fontId="5" fillId="0" borderId="19" xfId="3" applyNumberFormat="1" applyFont="1" applyBorder="1" applyAlignment="1">
      <alignment horizontal="center"/>
    </xf>
    <xf numFmtId="5" fontId="7" fillId="0" borderId="4" xfId="3" applyNumberFormat="1" applyFont="1" applyBorder="1" applyAlignment="1">
      <alignment horizontal="right"/>
    </xf>
    <xf numFmtId="5" fontId="7" fillId="0" borderId="14" xfId="3" applyNumberFormat="1" applyFont="1" applyBorder="1" applyAlignment="1">
      <alignment horizontal="right"/>
    </xf>
    <xf numFmtId="5" fontId="6" fillId="0" borderId="33" xfId="3" applyNumberFormat="1" applyFont="1" applyBorder="1" applyAlignment="1">
      <alignment horizontal="right"/>
    </xf>
    <xf numFmtId="5" fontId="6" fillId="0" borderId="64" xfId="3" applyNumberFormat="1" applyFont="1" applyBorder="1" applyAlignment="1">
      <alignment horizontal="right"/>
    </xf>
    <xf numFmtId="0" fontId="9" fillId="0" borderId="17" xfId="3" applyFont="1" applyBorder="1"/>
    <xf numFmtId="5" fontId="6" fillId="0" borderId="13" xfId="3" applyNumberFormat="1" applyFont="1" applyBorder="1" applyAlignment="1">
      <alignment horizontal="right"/>
    </xf>
    <xf numFmtId="5" fontId="6" fillId="0" borderId="55" xfId="3" applyNumberFormat="1" applyFont="1" applyBorder="1" applyAlignment="1">
      <alignment horizontal="right"/>
    </xf>
    <xf numFmtId="5" fontId="6" fillId="16" borderId="9" xfId="3" applyNumberFormat="1" applyFont="1" applyFill="1" applyBorder="1" applyAlignment="1">
      <alignment horizontal="right"/>
    </xf>
    <xf numFmtId="9" fontId="7" fillId="0" borderId="0" xfId="2" applyFont="1" applyAlignment="1">
      <alignment horizontal="right"/>
    </xf>
    <xf numFmtId="164" fontId="7" fillId="0" borderId="0" xfId="1" applyNumberFormat="1" applyFont="1"/>
    <xf numFmtId="9" fontId="7" fillId="0" borderId="0" xfId="2" applyFont="1"/>
    <xf numFmtId="9" fontId="7" fillId="0" borderId="15" xfId="3" applyNumberFormat="1" applyFont="1" applyBorder="1"/>
    <xf numFmtId="9" fontId="6" fillId="0" borderId="0" xfId="3" applyNumberFormat="1" applyFont="1"/>
    <xf numFmtId="0" fontId="6" fillId="0" borderId="15" xfId="3" applyFont="1" applyBorder="1" applyAlignment="1">
      <alignment horizontal="center"/>
    </xf>
    <xf numFmtId="6" fontId="7" fillId="0" borderId="0" xfId="3" applyNumberFormat="1" applyFont="1" applyAlignment="1">
      <alignment horizontal="center"/>
    </xf>
    <xf numFmtId="6" fontId="7" fillId="8" borderId="0" xfId="1" applyNumberFormat="1" applyFont="1" applyFill="1"/>
    <xf numFmtId="6" fontId="7" fillId="0" borderId="0" xfId="1" applyNumberFormat="1" applyFont="1" applyFill="1"/>
    <xf numFmtId="6" fontId="6" fillId="8" borderId="0" xfId="5" applyNumberFormat="1" applyFont="1" applyFill="1"/>
    <xf numFmtId="6" fontId="28" fillId="0" borderId="6" xfId="12" applyNumberFormat="1" applyFont="1" applyBorder="1" applyAlignment="1" applyProtection="1">
      <alignment horizontal="center"/>
      <protection locked="0"/>
    </xf>
    <xf numFmtId="6" fontId="28" fillId="0" borderId="6" xfId="12" applyNumberFormat="1" applyFont="1" applyBorder="1" applyAlignment="1" applyProtection="1">
      <alignment horizontal="right"/>
      <protection locked="0"/>
    </xf>
    <xf numFmtId="0" fontId="43" fillId="9" borderId="0" xfId="0" applyFont="1" applyFill="1" applyBorder="1" applyAlignment="1">
      <alignment vertical="top"/>
    </xf>
    <xf numFmtId="6" fontId="16" fillId="4" borderId="0" xfId="0" applyNumberFormat="1" applyFont="1" applyFill="1" applyBorder="1" applyAlignment="1">
      <alignment vertical="center" wrapText="1"/>
    </xf>
    <xf numFmtId="0" fontId="6" fillId="14" borderId="29" xfId="3" applyFont="1" applyFill="1" applyBorder="1" applyAlignment="1">
      <alignment horizontal="center" vertical="center"/>
    </xf>
    <xf numFmtId="0" fontId="6" fillId="14" borderId="28" xfId="3" applyFont="1" applyFill="1" applyBorder="1" applyAlignment="1">
      <alignment horizontal="center" vertical="center"/>
    </xf>
    <xf numFmtId="0" fontId="6" fillId="14" borderId="27" xfId="3" applyFont="1" applyFill="1" applyBorder="1" applyAlignment="1">
      <alignment horizontal="center" vertical="center"/>
    </xf>
    <xf numFmtId="0" fontId="7" fillId="0" borderId="19" xfId="3" applyFont="1" applyBorder="1" applyAlignment="1">
      <alignment horizontal="left"/>
    </xf>
    <xf numFmtId="0" fontId="44" fillId="0" borderId="13" xfId="3" applyFont="1" applyBorder="1" applyAlignment="1">
      <alignment horizontal="center"/>
    </xf>
    <xf numFmtId="0" fontId="6" fillId="0" borderId="45" xfId="3" applyFont="1" applyBorder="1" applyAlignment="1">
      <alignment horizontal="center"/>
    </xf>
    <xf numFmtId="0" fontId="6" fillId="0" borderId="24" xfId="3" applyFont="1" applyBorder="1" applyAlignment="1">
      <alignment horizontal="center"/>
    </xf>
    <xf numFmtId="0" fontId="6" fillId="0" borderId="46" xfId="3" applyFont="1" applyBorder="1" applyAlignment="1">
      <alignment horizontal="center"/>
    </xf>
    <xf numFmtId="0" fontId="6" fillId="14" borderId="29" xfId="3" applyFont="1" applyFill="1" applyBorder="1" applyAlignment="1">
      <alignment horizontal="center"/>
    </xf>
    <xf numFmtId="0" fontId="6" fillId="14" borderId="28" xfId="3" applyFont="1" applyFill="1" applyBorder="1" applyAlignment="1">
      <alignment horizontal="center"/>
    </xf>
    <xf numFmtId="0" fontId="6" fillId="14" borderId="27" xfId="3" applyFont="1" applyFill="1" applyBorder="1" applyAlignment="1">
      <alignment horizontal="center"/>
    </xf>
    <xf numFmtId="0" fontId="6" fillId="16" borderId="29" xfId="3" applyFont="1" applyFill="1" applyBorder="1" applyAlignment="1">
      <alignment horizontal="center"/>
    </xf>
    <xf numFmtId="0" fontId="6" fillId="16" borderId="28" xfId="3" applyFont="1" applyFill="1" applyBorder="1" applyAlignment="1">
      <alignment horizontal="center"/>
    </xf>
    <xf numFmtId="0" fontId="6" fillId="16" borderId="27" xfId="3" applyFont="1" applyFill="1" applyBorder="1" applyAlignment="1">
      <alignment horizontal="center"/>
    </xf>
    <xf numFmtId="0" fontId="6" fillId="14" borderId="8" xfId="3" applyFont="1" applyFill="1" applyBorder="1" applyAlignment="1">
      <alignment horizontal="center" vertical="center"/>
    </xf>
    <xf numFmtId="0" fontId="6" fillId="14" borderId="58" xfId="3" applyFont="1" applyFill="1" applyBorder="1" applyAlignment="1">
      <alignment horizontal="center" vertical="center"/>
    </xf>
    <xf numFmtId="0" fontId="6" fillId="14" borderId="59" xfId="3" applyFont="1" applyFill="1" applyBorder="1" applyAlignment="1">
      <alignment horizontal="center" vertical="center"/>
    </xf>
    <xf numFmtId="172" fontId="28" fillId="0" borderId="36" xfId="12" applyNumberFormat="1" applyFont="1" applyBorder="1" applyAlignment="1" applyProtection="1">
      <alignment horizontal="center"/>
      <protection locked="0"/>
    </xf>
    <xf numFmtId="172" fontId="28" fillId="0" borderId="19" xfId="12" applyNumberFormat="1" applyFont="1" applyBorder="1" applyAlignment="1" applyProtection="1">
      <alignment horizontal="center"/>
      <protection locked="0"/>
    </xf>
    <xf numFmtId="172" fontId="28" fillId="0" borderId="31" xfId="12" applyNumberFormat="1" applyFont="1" applyBorder="1" applyAlignment="1" applyProtection="1">
      <alignment horizontal="center"/>
      <protection locked="0"/>
    </xf>
    <xf numFmtId="173" fontId="17" fillId="0" borderId="37" xfId="13" applyNumberFormat="1" applyFont="1" applyBorder="1" applyAlignment="1">
      <alignment horizontal="left" vertical="top" indent="2" shrinkToFit="1"/>
    </xf>
    <xf numFmtId="173" fontId="17" fillId="0" borderId="39" xfId="13" applyNumberFormat="1" applyFont="1" applyBorder="1" applyAlignment="1">
      <alignment horizontal="left" vertical="top" indent="2" shrinkToFit="1"/>
    </xf>
    <xf numFmtId="0" fontId="32" fillId="10" borderId="41" xfId="13" applyFill="1" applyBorder="1" applyAlignment="1">
      <alignment horizontal="left" vertical="center" wrapText="1"/>
    </xf>
    <xf numFmtId="0" fontId="32" fillId="10" borderId="42" xfId="13" applyFill="1" applyBorder="1" applyAlignment="1">
      <alignment horizontal="left" vertical="center" wrapText="1"/>
    </xf>
    <xf numFmtId="0" fontId="35" fillId="0" borderId="37" xfId="13" applyFont="1" applyBorder="1" applyAlignment="1">
      <alignment horizontal="left" vertical="top" wrapText="1" indent="6"/>
    </xf>
    <xf numFmtId="0" fontId="35" fillId="0" borderId="38" xfId="13" applyFont="1" applyBorder="1" applyAlignment="1">
      <alignment horizontal="left" vertical="top" wrapText="1" indent="6"/>
    </xf>
    <xf numFmtId="0" fontId="35" fillId="0" borderId="39" xfId="13" applyFont="1" applyBorder="1" applyAlignment="1">
      <alignment horizontal="left" vertical="top" wrapText="1" indent="6"/>
    </xf>
    <xf numFmtId="0" fontId="36" fillId="0" borderId="37" xfId="13" applyFont="1" applyBorder="1" applyAlignment="1">
      <alignment horizontal="center" vertical="top" wrapText="1"/>
    </xf>
    <xf numFmtId="0" fontId="36" fillId="0" borderId="39" xfId="13" applyFont="1" applyBorder="1" applyAlignment="1">
      <alignment horizontal="center" vertical="top" wrapText="1"/>
    </xf>
    <xf numFmtId="0" fontId="33" fillId="0" borderId="0" xfId="13" applyFont="1" applyAlignment="1">
      <alignment horizontal="left" vertical="top" wrapText="1" indent="16"/>
    </xf>
    <xf numFmtId="0" fontId="33" fillId="0" borderId="0" xfId="13" applyFont="1" applyAlignment="1">
      <alignment horizontal="center" vertical="top" wrapText="1"/>
    </xf>
    <xf numFmtId="0" fontId="35" fillId="0" borderId="37" xfId="13" applyFont="1" applyBorder="1" applyAlignment="1">
      <alignment horizontal="left" vertical="top" wrapText="1" indent="7"/>
    </xf>
    <xf numFmtId="0" fontId="35" fillId="0" borderId="38" xfId="13" applyFont="1" applyBorder="1" applyAlignment="1">
      <alignment horizontal="left" vertical="top" wrapText="1" indent="7"/>
    </xf>
    <xf numFmtId="0" fontId="35" fillId="0" borderId="39" xfId="13" applyFont="1" applyBorder="1" applyAlignment="1">
      <alignment horizontal="left" vertical="top" wrapText="1" indent="7"/>
    </xf>
    <xf numFmtId="0" fontId="16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6" fontId="6" fillId="0" borderId="0" xfId="3" applyNumberFormat="1" applyFont="1" applyAlignment="1">
      <alignment horizontal="left"/>
    </xf>
    <xf numFmtId="6" fontId="7" fillId="18" borderId="0" xfId="3" applyNumberFormat="1" applyFont="1" applyFill="1"/>
  </cellXfs>
  <cellStyles count="14">
    <cellStyle name="Comma" xfId="1" builtinId="3"/>
    <cellStyle name="Comma 2" xfId="11" xr:uid="{3AF8EEE3-35BE-41EB-9C50-5379FABF7B40}"/>
    <cellStyle name="Currency 2" xfId="5" xr:uid="{00000000-0005-0000-0000-000001000000}"/>
    <cellStyle name="Followed Hyperlink" xfId="8" builtinId="9" hidden="1"/>
    <cellStyle name="Followed Hyperlink" xfId="9" builtinId="9" hidden="1"/>
    <cellStyle name="Hyperlink" xfId="4" builtinId="8"/>
    <cellStyle name="Normal" xfId="0" builtinId="0"/>
    <cellStyle name="Normal 2" xfId="3" xr:uid="{00000000-0005-0000-0000-000006000000}"/>
    <cellStyle name="Normal 3" xfId="6" xr:uid="{00000000-0005-0000-0000-000007000000}"/>
    <cellStyle name="Normal 4" xfId="10" xr:uid="{87A2B8B3-D9B6-4288-871C-E5EF6CCCD80C}"/>
    <cellStyle name="Normal 5" xfId="13" xr:uid="{3112E6A4-382D-4DB4-8CD5-6A0029C2E198}"/>
    <cellStyle name="Normal_Jim's Linked NSF forms 11-16-99###1" xfId="12" xr:uid="{CCD850E1-832B-4254-A4B8-58844AD5CCFD}"/>
    <cellStyle name="Percent" xfId="2" builtinId="5"/>
    <cellStyle name="Percent 2" xfId="7" xr:uid="{00000000-0005-0000-0000-000009000000}"/>
  </cellStyles>
  <dxfs count="0"/>
  <tableStyles count="0" defaultTableStyle="TableStyleMedium9" defaultPivotStyle="PivotStyleLight16"/>
  <colors>
    <mruColors>
      <color rgb="FFFFFF99"/>
      <color rgb="FFFFFFCC"/>
      <color rgb="FF0000FF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78396</xdr:colOff>
      <xdr:row>0</xdr:row>
      <xdr:rowOff>40012</xdr:rowOff>
    </xdr:from>
    <xdr:to>
      <xdr:col>3</xdr:col>
      <xdr:colOff>539834</xdr:colOff>
      <xdr:row>3</xdr:row>
      <xdr:rowOff>219506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094DB5-39C6-4F15-8B91-6684B0589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6" y="220321"/>
          <a:ext cx="2310072" cy="626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74475</xdr:colOff>
      <xdr:row>0</xdr:row>
      <xdr:rowOff>113671</xdr:rowOff>
    </xdr:from>
    <xdr:to>
      <xdr:col>3</xdr:col>
      <xdr:colOff>540314</xdr:colOff>
      <xdr:row>3</xdr:row>
      <xdr:rowOff>294725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D2912-4445-4347-BF2C-8E930C1A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75" y="293980"/>
          <a:ext cx="2601360" cy="631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23519</xdr:rowOff>
    </xdr:from>
    <xdr:to>
      <xdr:col>3</xdr:col>
      <xdr:colOff>743097</xdr:colOff>
      <xdr:row>4</xdr:row>
      <xdr:rowOff>27282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6D3AD-C0CB-4511-8DC2-5F79C1106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4136"/>
          <a:ext cx="3071430" cy="549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132906</xdr:colOff>
      <xdr:row>0</xdr:row>
      <xdr:rowOff>85429</xdr:rowOff>
    </xdr:from>
    <xdr:to>
      <xdr:col>3</xdr:col>
      <xdr:colOff>749309</xdr:colOff>
      <xdr:row>4</xdr:row>
      <xdr:rowOff>88605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D6611D-2028-40A2-974A-9403C94C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06" y="88604"/>
          <a:ext cx="2791278" cy="742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66636</xdr:colOff>
      <xdr:row>1</xdr:row>
      <xdr:rowOff>77060</xdr:rowOff>
    </xdr:from>
    <xdr:to>
      <xdr:col>3</xdr:col>
      <xdr:colOff>674424</xdr:colOff>
      <xdr:row>5</xdr:row>
      <xdr:rowOff>181405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2ED36A-ACEF-4CAE-BF9E-CEDAA3048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36" y="437677"/>
          <a:ext cx="2583344" cy="8349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117592</xdr:colOff>
      <xdr:row>0</xdr:row>
      <xdr:rowOff>40012</xdr:rowOff>
    </xdr:from>
    <xdr:to>
      <xdr:col>3</xdr:col>
      <xdr:colOff>959357</xdr:colOff>
      <xdr:row>3</xdr:row>
      <xdr:rowOff>257214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29AE72-94A3-4D6D-B824-ACC14303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92" y="220321"/>
          <a:ext cx="2880037" cy="657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provost.umd.edu/fringe-benefit-rates/fringe-rates" TargetMode="External"/><Relationship Id="rId2" Type="http://schemas.openxmlformats.org/officeDocument/2006/relationships/hyperlink" Target="https://billpay.umd.edu/phdTuition" TargetMode="External"/><Relationship Id="rId1" Type="http://schemas.openxmlformats.org/officeDocument/2006/relationships/hyperlink" Target="https://billpay.umd.edu/GraduateTuition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ora.umd.edu/resources/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tabSelected="1" zoomScale="91" zoomScaleNormal="91" workbookViewId="0">
      <pane xSplit="3" ySplit="5" topLeftCell="D6" activePane="bottomRight" state="frozen"/>
      <selection activeCell="B18" sqref="B18"/>
      <selection pane="topRight" activeCell="B18" sqref="B18"/>
      <selection pane="bottomLeft" activeCell="B18" sqref="B18"/>
      <selection pane="bottomRight" activeCell="E63" sqref="E63"/>
    </sheetView>
  </sheetViews>
  <sheetFormatPr defaultColWidth="8.81640625" defaultRowHeight="14.5"/>
  <cols>
    <col min="1" max="1" width="3.81640625" style="2" customWidth="1"/>
    <col min="2" max="2" width="12.81640625" style="2" customWidth="1"/>
    <col min="3" max="3" width="9.7265625" style="2" customWidth="1"/>
    <col min="4" max="4" width="9.453125" style="2" customWidth="1"/>
    <col min="5" max="5" width="14" style="2" bestFit="1" customWidth="1"/>
    <col min="6" max="6" width="13.453125" style="2" customWidth="1"/>
    <col min="7" max="7" width="13.26953125" style="2" customWidth="1"/>
    <col min="8" max="8" width="12.7265625" style="2" customWidth="1"/>
    <col min="9" max="9" width="14.81640625" style="2" customWidth="1"/>
    <col min="10" max="10" width="14.453125" style="2" customWidth="1"/>
    <col min="11" max="11" width="3.81640625" style="2" customWidth="1"/>
    <col min="12" max="12" width="11.36328125" style="3" customWidth="1"/>
    <col min="13" max="13" width="10.08984375" style="3" customWidth="1"/>
    <col min="14" max="18" width="7.26953125" style="2" customWidth="1"/>
    <col min="19" max="19" width="7.81640625" style="2" bestFit="1" customWidth="1"/>
    <col min="20" max="20" width="3.81640625" style="2" customWidth="1"/>
    <col min="21" max="25" width="6.54296875" style="2" customWidth="1"/>
    <col min="26" max="26" width="11.54296875" style="2" bestFit="1" customWidth="1"/>
    <col min="27" max="27" width="11.453125" style="2" bestFit="1" customWidth="1"/>
    <col min="28" max="248" width="8.81640625" style="2"/>
    <col min="249" max="249" width="3.81640625" style="2" customWidth="1"/>
    <col min="250" max="250" width="8.81640625" style="2"/>
    <col min="251" max="251" width="14.453125" style="2" customWidth="1"/>
    <col min="252" max="252" width="38.7265625" style="2" customWidth="1"/>
    <col min="253" max="257" width="14" style="2" bestFit="1" customWidth="1"/>
    <col min="258" max="258" width="10.453125" style="2" bestFit="1" customWidth="1"/>
    <col min="259" max="259" width="8.81640625" style="2"/>
    <col min="260" max="260" width="11.26953125" style="2" bestFit="1" customWidth="1"/>
    <col min="261" max="261" width="5.453125" style="2" bestFit="1" customWidth="1"/>
    <col min="262" max="265" width="5" style="2" bestFit="1" customWidth="1"/>
    <col min="266" max="266" width="7.453125" style="2" bestFit="1" customWidth="1"/>
    <col min="267" max="267" width="10.453125" style="2" bestFit="1" customWidth="1"/>
    <col min="268" max="268" width="8.81640625" style="2"/>
    <col min="269" max="270" width="12.453125" style="2" bestFit="1" customWidth="1"/>
    <col min="271" max="271" width="14" style="2" bestFit="1" customWidth="1"/>
    <col min="272" max="504" width="8.81640625" style="2"/>
    <col min="505" max="505" width="3.81640625" style="2" customWidth="1"/>
    <col min="506" max="506" width="8.81640625" style="2"/>
    <col min="507" max="507" width="14.453125" style="2" customWidth="1"/>
    <col min="508" max="508" width="38.7265625" style="2" customWidth="1"/>
    <col min="509" max="513" width="14" style="2" bestFit="1" customWidth="1"/>
    <col min="514" max="514" width="10.453125" style="2" bestFit="1" customWidth="1"/>
    <col min="515" max="515" width="8.81640625" style="2"/>
    <col min="516" max="516" width="11.26953125" style="2" bestFit="1" customWidth="1"/>
    <col min="517" max="517" width="5.453125" style="2" bestFit="1" customWidth="1"/>
    <col min="518" max="521" width="5" style="2" bestFit="1" customWidth="1"/>
    <col min="522" max="522" width="7.453125" style="2" bestFit="1" customWidth="1"/>
    <col min="523" max="523" width="10.453125" style="2" bestFit="1" customWidth="1"/>
    <col min="524" max="524" width="8.81640625" style="2"/>
    <col min="525" max="526" width="12.453125" style="2" bestFit="1" customWidth="1"/>
    <col min="527" max="527" width="14" style="2" bestFit="1" customWidth="1"/>
    <col min="528" max="760" width="8.81640625" style="2"/>
    <col min="761" max="761" width="3.81640625" style="2" customWidth="1"/>
    <col min="762" max="762" width="8.81640625" style="2"/>
    <col min="763" max="763" width="14.453125" style="2" customWidth="1"/>
    <col min="764" max="764" width="38.7265625" style="2" customWidth="1"/>
    <col min="765" max="769" width="14" style="2" bestFit="1" customWidth="1"/>
    <col min="770" max="770" width="10.453125" style="2" bestFit="1" customWidth="1"/>
    <col min="771" max="771" width="8.81640625" style="2"/>
    <col min="772" max="772" width="11.26953125" style="2" bestFit="1" customWidth="1"/>
    <col min="773" max="773" width="5.453125" style="2" bestFit="1" customWidth="1"/>
    <col min="774" max="777" width="5" style="2" bestFit="1" customWidth="1"/>
    <col min="778" max="778" width="7.453125" style="2" bestFit="1" customWidth="1"/>
    <col min="779" max="779" width="10.453125" style="2" bestFit="1" customWidth="1"/>
    <col min="780" max="780" width="8.81640625" style="2"/>
    <col min="781" max="782" width="12.453125" style="2" bestFit="1" customWidth="1"/>
    <col min="783" max="783" width="14" style="2" bestFit="1" customWidth="1"/>
    <col min="784" max="1016" width="8.81640625" style="2"/>
    <col min="1017" max="1017" width="3.81640625" style="2" customWidth="1"/>
    <col min="1018" max="1018" width="8.81640625" style="2"/>
    <col min="1019" max="1019" width="14.453125" style="2" customWidth="1"/>
    <col min="1020" max="1020" width="38.7265625" style="2" customWidth="1"/>
    <col min="1021" max="1025" width="14" style="2" bestFit="1" customWidth="1"/>
    <col min="1026" max="1026" width="10.453125" style="2" bestFit="1" customWidth="1"/>
    <col min="1027" max="1027" width="8.81640625" style="2"/>
    <col min="1028" max="1028" width="11.26953125" style="2" bestFit="1" customWidth="1"/>
    <col min="1029" max="1029" width="5.453125" style="2" bestFit="1" customWidth="1"/>
    <col min="1030" max="1033" width="5" style="2" bestFit="1" customWidth="1"/>
    <col min="1034" max="1034" width="7.453125" style="2" bestFit="1" customWidth="1"/>
    <col min="1035" max="1035" width="10.453125" style="2" bestFit="1" customWidth="1"/>
    <col min="1036" max="1036" width="8.81640625" style="2"/>
    <col min="1037" max="1038" width="12.453125" style="2" bestFit="1" customWidth="1"/>
    <col min="1039" max="1039" width="14" style="2" bestFit="1" customWidth="1"/>
    <col min="1040" max="1272" width="8.81640625" style="2"/>
    <col min="1273" max="1273" width="3.81640625" style="2" customWidth="1"/>
    <col min="1274" max="1274" width="8.81640625" style="2"/>
    <col min="1275" max="1275" width="14.453125" style="2" customWidth="1"/>
    <col min="1276" max="1276" width="38.7265625" style="2" customWidth="1"/>
    <col min="1277" max="1281" width="14" style="2" bestFit="1" customWidth="1"/>
    <col min="1282" max="1282" width="10.453125" style="2" bestFit="1" customWidth="1"/>
    <col min="1283" max="1283" width="8.81640625" style="2"/>
    <col min="1284" max="1284" width="11.26953125" style="2" bestFit="1" customWidth="1"/>
    <col min="1285" max="1285" width="5.453125" style="2" bestFit="1" customWidth="1"/>
    <col min="1286" max="1289" width="5" style="2" bestFit="1" customWidth="1"/>
    <col min="1290" max="1290" width="7.453125" style="2" bestFit="1" customWidth="1"/>
    <col min="1291" max="1291" width="10.453125" style="2" bestFit="1" customWidth="1"/>
    <col min="1292" max="1292" width="8.81640625" style="2"/>
    <col min="1293" max="1294" width="12.453125" style="2" bestFit="1" customWidth="1"/>
    <col min="1295" max="1295" width="14" style="2" bestFit="1" customWidth="1"/>
    <col min="1296" max="1528" width="8.81640625" style="2"/>
    <col min="1529" max="1529" width="3.81640625" style="2" customWidth="1"/>
    <col min="1530" max="1530" width="8.81640625" style="2"/>
    <col min="1531" max="1531" width="14.453125" style="2" customWidth="1"/>
    <col min="1532" max="1532" width="38.7265625" style="2" customWidth="1"/>
    <col min="1533" max="1537" width="14" style="2" bestFit="1" customWidth="1"/>
    <col min="1538" max="1538" width="10.453125" style="2" bestFit="1" customWidth="1"/>
    <col min="1539" max="1539" width="8.81640625" style="2"/>
    <col min="1540" max="1540" width="11.26953125" style="2" bestFit="1" customWidth="1"/>
    <col min="1541" max="1541" width="5.453125" style="2" bestFit="1" customWidth="1"/>
    <col min="1542" max="1545" width="5" style="2" bestFit="1" customWidth="1"/>
    <col min="1546" max="1546" width="7.453125" style="2" bestFit="1" customWidth="1"/>
    <col min="1547" max="1547" width="10.453125" style="2" bestFit="1" customWidth="1"/>
    <col min="1548" max="1548" width="8.81640625" style="2"/>
    <col min="1549" max="1550" width="12.453125" style="2" bestFit="1" customWidth="1"/>
    <col min="1551" max="1551" width="14" style="2" bestFit="1" customWidth="1"/>
    <col min="1552" max="1784" width="8.81640625" style="2"/>
    <col min="1785" max="1785" width="3.81640625" style="2" customWidth="1"/>
    <col min="1786" max="1786" width="8.81640625" style="2"/>
    <col min="1787" max="1787" width="14.453125" style="2" customWidth="1"/>
    <col min="1788" max="1788" width="38.7265625" style="2" customWidth="1"/>
    <col min="1789" max="1793" width="14" style="2" bestFit="1" customWidth="1"/>
    <col min="1794" max="1794" width="10.453125" style="2" bestFit="1" customWidth="1"/>
    <col min="1795" max="1795" width="8.81640625" style="2"/>
    <col min="1796" max="1796" width="11.26953125" style="2" bestFit="1" customWidth="1"/>
    <col min="1797" max="1797" width="5.453125" style="2" bestFit="1" customWidth="1"/>
    <col min="1798" max="1801" width="5" style="2" bestFit="1" customWidth="1"/>
    <col min="1802" max="1802" width="7.453125" style="2" bestFit="1" customWidth="1"/>
    <col min="1803" max="1803" width="10.453125" style="2" bestFit="1" customWidth="1"/>
    <col min="1804" max="1804" width="8.81640625" style="2"/>
    <col min="1805" max="1806" width="12.453125" style="2" bestFit="1" customWidth="1"/>
    <col min="1807" max="1807" width="14" style="2" bestFit="1" customWidth="1"/>
    <col min="1808" max="2040" width="8.81640625" style="2"/>
    <col min="2041" max="2041" width="3.81640625" style="2" customWidth="1"/>
    <col min="2042" max="2042" width="8.81640625" style="2"/>
    <col min="2043" max="2043" width="14.453125" style="2" customWidth="1"/>
    <col min="2044" max="2044" width="38.7265625" style="2" customWidth="1"/>
    <col min="2045" max="2049" width="14" style="2" bestFit="1" customWidth="1"/>
    <col min="2050" max="2050" width="10.453125" style="2" bestFit="1" customWidth="1"/>
    <col min="2051" max="2051" width="8.81640625" style="2"/>
    <col min="2052" max="2052" width="11.26953125" style="2" bestFit="1" customWidth="1"/>
    <col min="2053" max="2053" width="5.453125" style="2" bestFit="1" customWidth="1"/>
    <col min="2054" max="2057" width="5" style="2" bestFit="1" customWidth="1"/>
    <col min="2058" max="2058" width="7.453125" style="2" bestFit="1" customWidth="1"/>
    <col min="2059" max="2059" width="10.453125" style="2" bestFit="1" customWidth="1"/>
    <col min="2060" max="2060" width="8.81640625" style="2"/>
    <col min="2061" max="2062" width="12.453125" style="2" bestFit="1" customWidth="1"/>
    <col min="2063" max="2063" width="14" style="2" bestFit="1" customWidth="1"/>
    <col min="2064" max="2296" width="8.81640625" style="2"/>
    <col min="2297" max="2297" width="3.81640625" style="2" customWidth="1"/>
    <col min="2298" max="2298" width="8.81640625" style="2"/>
    <col min="2299" max="2299" width="14.453125" style="2" customWidth="1"/>
    <col min="2300" max="2300" width="38.7265625" style="2" customWidth="1"/>
    <col min="2301" max="2305" width="14" style="2" bestFit="1" customWidth="1"/>
    <col min="2306" max="2306" width="10.453125" style="2" bestFit="1" customWidth="1"/>
    <col min="2307" max="2307" width="8.81640625" style="2"/>
    <col min="2308" max="2308" width="11.26953125" style="2" bestFit="1" customWidth="1"/>
    <col min="2309" max="2309" width="5.453125" style="2" bestFit="1" customWidth="1"/>
    <col min="2310" max="2313" width="5" style="2" bestFit="1" customWidth="1"/>
    <col min="2314" max="2314" width="7.453125" style="2" bestFit="1" customWidth="1"/>
    <col min="2315" max="2315" width="10.453125" style="2" bestFit="1" customWidth="1"/>
    <col min="2316" max="2316" width="8.81640625" style="2"/>
    <col min="2317" max="2318" width="12.453125" style="2" bestFit="1" customWidth="1"/>
    <col min="2319" max="2319" width="14" style="2" bestFit="1" customWidth="1"/>
    <col min="2320" max="2552" width="8.81640625" style="2"/>
    <col min="2553" max="2553" width="3.81640625" style="2" customWidth="1"/>
    <col min="2554" max="2554" width="8.81640625" style="2"/>
    <col min="2555" max="2555" width="14.453125" style="2" customWidth="1"/>
    <col min="2556" max="2556" width="38.7265625" style="2" customWidth="1"/>
    <col min="2557" max="2561" width="14" style="2" bestFit="1" customWidth="1"/>
    <col min="2562" max="2562" width="10.453125" style="2" bestFit="1" customWidth="1"/>
    <col min="2563" max="2563" width="8.81640625" style="2"/>
    <col min="2564" max="2564" width="11.26953125" style="2" bestFit="1" customWidth="1"/>
    <col min="2565" max="2565" width="5.453125" style="2" bestFit="1" customWidth="1"/>
    <col min="2566" max="2569" width="5" style="2" bestFit="1" customWidth="1"/>
    <col min="2570" max="2570" width="7.453125" style="2" bestFit="1" customWidth="1"/>
    <col min="2571" max="2571" width="10.453125" style="2" bestFit="1" customWidth="1"/>
    <col min="2572" max="2572" width="8.81640625" style="2"/>
    <col min="2573" max="2574" width="12.453125" style="2" bestFit="1" customWidth="1"/>
    <col min="2575" max="2575" width="14" style="2" bestFit="1" customWidth="1"/>
    <col min="2576" max="2808" width="8.81640625" style="2"/>
    <col min="2809" max="2809" width="3.81640625" style="2" customWidth="1"/>
    <col min="2810" max="2810" width="8.81640625" style="2"/>
    <col min="2811" max="2811" width="14.453125" style="2" customWidth="1"/>
    <col min="2812" max="2812" width="38.7265625" style="2" customWidth="1"/>
    <col min="2813" max="2817" width="14" style="2" bestFit="1" customWidth="1"/>
    <col min="2818" max="2818" width="10.453125" style="2" bestFit="1" customWidth="1"/>
    <col min="2819" max="2819" width="8.81640625" style="2"/>
    <col min="2820" max="2820" width="11.26953125" style="2" bestFit="1" customWidth="1"/>
    <col min="2821" max="2821" width="5.453125" style="2" bestFit="1" customWidth="1"/>
    <col min="2822" max="2825" width="5" style="2" bestFit="1" customWidth="1"/>
    <col min="2826" max="2826" width="7.453125" style="2" bestFit="1" customWidth="1"/>
    <col min="2827" max="2827" width="10.453125" style="2" bestFit="1" customWidth="1"/>
    <col min="2828" max="2828" width="8.81640625" style="2"/>
    <col min="2829" max="2830" width="12.453125" style="2" bestFit="1" customWidth="1"/>
    <col min="2831" max="2831" width="14" style="2" bestFit="1" customWidth="1"/>
    <col min="2832" max="3064" width="8.81640625" style="2"/>
    <col min="3065" max="3065" width="3.81640625" style="2" customWidth="1"/>
    <col min="3066" max="3066" width="8.81640625" style="2"/>
    <col min="3067" max="3067" width="14.453125" style="2" customWidth="1"/>
    <col min="3068" max="3068" width="38.7265625" style="2" customWidth="1"/>
    <col min="3069" max="3073" width="14" style="2" bestFit="1" customWidth="1"/>
    <col min="3074" max="3074" width="10.453125" style="2" bestFit="1" customWidth="1"/>
    <col min="3075" max="3075" width="8.81640625" style="2"/>
    <col min="3076" max="3076" width="11.26953125" style="2" bestFit="1" customWidth="1"/>
    <col min="3077" max="3077" width="5.453125" style="2" bestFit="1" customWidth="1"/>
    <col min="3078" max="3081" width="5" style="2" bestFit="1" customWidth="1"/>
    <col min="3082" max="3082" width="7.453125" style="2" bestFit="1" customWidth="1"/>
    <col min="3083" max="3083" width="10.453125" style="2" bestFit="1" customWidth="1"/>
    <col min="3084" max="3084" width="8.81640625" style="2"/>
    <col min="3085" max="3086" width="12.453125" style="2" bestFit="1" customWidth="1"/>
    <col min="3087" max="3087" width="14" style="2" bestFit="1" customWidth="1"/>
    <col min="3088" max="3320" width="8.81640625" style="2"/>
    <col min="3321" max="3321" width="3.81640625" style="2" customWidth="1"/>
    <col min="3322" max="3322" width="8.81640625" style="2"/>
    <col min="3323" max="3323" width="14.453125" style="2" customWidth="1"/>
    <col min="3324" max="3324" width="38.7265625" style="2" customWidth="1"/>
    <col min="3325" max="3329" width="14" style="2" bestFit="1" customWidth="1"/>
    <col min="3330" max="3330" width="10.453125" style="2" bestFit="1" customWidth="1"/>
    <col min="3331" max="3331" width="8.81640625" style="2"/>
    <col min="3332" max="3332" width="11.26953125" style="2" bestFit="1" customWidth="1"/>
    <col min="3333" max="3333" width="5.453125" style="2" bestFit="1" customWidth="1"/>
    <col min="3334" max="3337" width="5" style="2" bestFit="1" customWidth="1"/>
    <col min="3338" max="3338" width="7.453125" style="2" bestFit="1" customWidth="1"/>
    <col min="3339" max="3339" width="10.453125" style="2" bestFit="1" customWidth="1"/>
    <col min="3340" max="3340" width="8.81640625" style="2"/>
    <col min="3341" max="3342" width="12.453125" style="2" bestFit="1" customWidth="1"/>
    <col min="3343" max="3343" width="14" style="2" bestFit="1" customWidth="1"/>
    <col min="3344" max="3576" width="8.81640625" style="2"/>
    <col min="3577" max="3577" width="3.81640625" style="2" customWidth="1"/>
    <col min="3578" max="3578" width="8.81640625" style="2"/>
    <col min="3579" max="3579" width="14.453125" style="2" customWidth="1"/>
    <col min="3580" max="3580" width="38.7265625" style="2" customWidth="1"/>
    <col min="3581" max="3585" width="14" style="2" bestFit="1" customWidth="1"/>
    <col min="3586" max="3586" width="10.453125" style="2" bestFit="1" customWidth="1"/>
    <col min="3587" max="3587" width="8.81640625" style="2"/>
    <col min="3588" max="3588" width="11.26953125" style="2" bestFit="1" customWidth="1"/>
    <col min="3589" max="3589" width="5.453125" style="2" bestFit="1" customWidth="1"/>
    <col min="3590" max="3593" width="5" style="2" bestFit="1" customWidth="1"/>
    <col min="3594" max="3594" width="7.453125" style="2" bestFit="1" customWidth="1"/>
    <col min="3595" max="3595" width="10.453125" style="2" bestFit="1" customWidth="1"/>
    <col min="3596" max="3596" width="8.81640625" style="2"/>
    <col min="3597" max="3598" width="12.453125" style="2" bestFit="1" customWidth="1"/>
    <col min="3599" max="3599" width="14" style="2" bestFit="1" customWidth="1"/>
    <col min="3600" max="3832" width="8.81640625" style="2"/>
    <col min="3833" max="3833" width="3.81640625" style="2" customWidth="1"/>
    <col min="3834" max="3834" width="8.81640625" style="2"/>
    <col min="3835" max="3835" width="14.453125" style="2" customWidth="1"/>
    <col min="3836" max="3836" width="38.7265625" style="2" customWidth="1"/>
    <col min="3837" max="3841" width="14" style="2" bestFit="1" customWidth="1"/>
    <col min="3842" max="3842" width="10.453125" style="2" bestFit="1" customWidth="1"/>
    <col min="3843" max="3843" width="8.81640625" style="2"/>
    <col min="3844" max="3844" width="11.26953125" style="2" bestFit="1" customWidth="1"/>
    <col min="3845" max="3845" width="5.453125" style="2" bestFit="1" customWidth="1"/>
    <col min="3846" max="3849" width="5" style="2" bestFit="1" customWidth="1"/>
    <col min="3850" max="3850" width="7.453125" style="2" bestFit="1" customWidth="1"/>
    <col min="3851" max="3851" width="10.453125" style="2" bestFit="1" customWidth="1"/>
    <col min="3852" max="3852" width="8.81640625" style="2"/>
    <col min="3853" max="3854" width="12.453125" style="2" bestFit="1" customWidth="1"/>
    <col min="3855" max="3855" width="14" style="2" bestFit="1" customWidth="1"/>
    <col min="3856" max="4088" width="8.81640625" style="2"/>
    <col min="4089" max="4089" width="3.81640625" style="2" customWidth="1"/>
    <col min="4090" max="4090" width="8.81640625" style="2"/>
    <col min="4091" max="4091" width="14.453125" style="2" customWidth="1"/>
    <col min="4092" max="4092" width="38.7265625" style="2" customWidth="1"/>
    <col min="4093" max="4097" width="14" style="2" bestFit="1" customWidth="1"/>
    <col min="4098" max="4098" width="10.453125" style="2" bestFit="1" customWidth="1"/>
    <col min="4099" max="4099" width="8.81640625" style="2"/>
    <col min="4100" max="4100" width="11.26953125" style="2" bestFit="1" customWidth="1"/>
    <col min="4101" max="4101" width="5.453125" style="2" bestFit="1" customWidth="1"/>
    <col min="4102" max="4105" width="5" style="2" bestFit="1" customWidth="1"/>
    <col min="4106" max="4106" width="7.453125" style="2" bestFit="1" customWidth="1"/>
    <col min="4107" max="4107" width="10.453125" style="2" bestFit="1" customWidth="1"/>
    <col min="4108" max="4108" width="8.81640625" style="2"/>
    <col min="4109" max="4110" width="12.453125" style="2" bestFit="1" customWidth="1"/>
    <col min="4111" max="4111" width="14" style="2" bestFit="1" customWidth="1"/>
    <col min="4112" max="4344" width="8.81640625" style="2"/>
    <col min="4345" max="4345" width="3.81640625" style="2" customWidth="1"/>
    <col min="4346" max="4346" width="8.81640625" style="2"/>
    <col min="4347" max="4347" width="14.453125" style="2" customWidth="1"/>
    <col min="4348" max="4348" width="38.7265625" style="2" customWidth="1"/>
    <col min="4349" max="4353" width="14" style="2" bestFit="1" customWidth="1"/>
    <col min="4354" max="4354" width="10.453125" style="2" bestFit="1" customWidth="1"/>
    <col min="4355" max="4355" width="8.81640625" style="2"/>
    <col min="4356" max="4356" width="11.26953125" style="2" bestFit="1" customWidth="1"/>
    <col min="4357" max="4357" width="5.453125" style="2" bestFit="1" customWidth="1"/>
    <col min="4358" max="4361" width="5" style="2" bestFit="1" customWidth="1"/>
    <col min="4362" max="4362" width="7.453125" style="2" bestFit="1" customWidth="1"/>
    <col min="4363" max="4363" width="10.453125" style="2" bestFit="1" customWidth="1"/>
    <col min="4364" max="4364" width="8.81640625" style="2"/>
    <col min="4365" max="4366" width="12.453125" style="2" bestFit="1" customWidth="1"/>
    <col min="4367" max="4367" width="14" style="2" bestFit="1" customWidth="1"/>
    <col min="4368" max="4600" width="8.81640625" style="2"/>
    <col min="4601" max="4601" width="3.81640625" style="2" customWidth="1"/>
    <col min="4602" max="4602" width="8.81640625" style="2"/>
    <col min="4603" max="4603" width="14.453125" style="2" customWidth="1"/>
    <col min="4604" max="4604" width="38.7265625" style="2" customWidth="1"/>
    <col min="4605" max="4609" width="14" style="2" bestFit="1" customWidth="1"/>
    <col min="4610" max="4610" width="10.453125" style="2" bestFit="1" customWidth="1"/>
    <col min="4611" max="4611" width="8.81640625" style="2"/>
    <col min="4612" max="4612" width="11.26953125" style="2" bestFit="1" customWidth="1"/>
    <col min="4613" max="4613" width="5.453125" style="2" bestFit="1" customWidth="1"/>
    <col min="4614" max="4617" width="5" style="2" bestFit="1" customWidth="1"/>
    <col min="4618" max="4618" width="7.453125" style="2" bestFit="1" customWidth="1"/>
    <col min="4619" max="4619" width="10.453125" style="2" bestFit="1" customWidth="1"/>
    <col min="4620" max="4620" width="8.81640625" style="2"/>
    <col min="4621" max="4622" width="12.453125" style="2" bestFit="1" customWidth="1"/>
    <col min="4623" max="4623" width="14" style="2" bestFit="1" customWidth="1"/>
    <col min="4624" max="4856" width="8.81640625" style="2"/>
    <col min="4857" max="4857" width="3.81640625" style="2" customWidth="1"/>
    <col min="4858" max="4858" width="8.81640625" style="2"/>
    <col min="4859" max="4859" width="14.453125" style="2" customWidth="1"/>
    <col min="4860" max="4860" width="38.7265625" style="2" customWidth="1"/>
    <col min="4861" max="4865" width="14" style="2" bestFit="1" customWidth="1"/>
    <col min="4866" max="4866" width="10.453125" style="2" bestFit="1" customWidth="1"/>
    <col min="4867" max="4867" width="8.81640625" style="2"/>
    <col min="4868" max="4868" width="11.26953125" style="2" bestFit="1" customWidth="1"/>
    <col min="4869" max="4869" width="5.453125" style="2" bestFit="1" customWidth="1"/>
    <col min="4870" max="4873" width="5" style="2" bestFit="1" customWidth="1"/>
    <col min="4874" max="4874" width="7.453125" style="2" bestFit="1" customWidth="1"/>
    <col min="4875" max="4875" width="10.453125" style="2" bestFit="1" customWidth="1"/>
    <col min="4876" max="4876" width="8.81640625" style="2"/>
    <col min="4877" max="4878" width="12.453125" style="2" bestFit="1" customWidth="1"/>
    <col min="4879" max="4879" width="14" style="2" bestFit="1" customWidth="1"/>
    <col min="4880" max="5112" width="8.81640625" style="2"/>
    <col min="5113" max="5113" width="3.81640625" style="2" customWidth="1"/>
    <col min="5114" max="5114" width="8.81640625" style="2"/>
    <col min="5115" max="5115" width="14.453125" style="2" customWidth="1"/>
    <col min="5116" max="5116" width="38.7265625" style="2" customWidth="1"/>
    <col min="5117" max="5121" width="14" style="2" bestFit="1" customWidth="1"/>
    <col min="5122" max="5122" width="10.453125" style="2" bestFit="1" customWidth="1"/>
    <col min="5123" max="5123" width="8.81640625" style="2"/>
    <col min="5124" max="5124" width="11.26953125" style="2" bestFit="1" customWidth="1"/>
    <col min="5125" max="5125" width="5.453125" style="2" bestFit="1" customWidth="1"/>
    <col min="5126" max="5129" width="5" style="2" bestFit="1" customWidth="1"/>
    <col min="5130" max="5130" width="7.453125" style="2" bestFit="1" customWidth="1"/>
    <col min="5131" max="5131" width="10.453125" style="2" bestFit="1" customWidth="1"/>
    <col min="5132" max="5132" width="8.81640625" style="2"/>
    <col min="5133" max="5134" width="12.453125" style="2" bestFit="1" customWidth="1"/>
    <col min="5135" max="5135" width="14" style="2" bestFit="1" customWidth="1"/>
    <col min="5136" max="5368" width="8.81640625" style="2"/>
    <col min="5369" max="5369" width="3.81640625" style="2" customWidth="1"/>
    <col min="5370" max="5370" width="8.81640625" style="2"/>
    <col min="5371" max="5371" width="14.453125" style="2" customWidth="1"/>
    <col min="5372" max="5372" width="38.7265625" style="2" customWidth="1"/>
    <col min="5373" max="5377" width="14" style="2" bestFit="1" customWidth="1"/>
    <col min="5378" max="5378" width="10.453125" style="2" bestFit="1" customWidth="1"/>
    <col min="5379" max="5379" width="8.81640625" style="2"/>
    <col min="5380" max="5380" width="11.26953125" style="2" bestFit="1" customWidth="1"/>
    <col min="5381" max="5381" width="5.453125" style="2" bestFit="1" customWidth="1"/>
    <col min="5382" max="5385" width="5" style="2" bestFit="1" customWidth="1"/>
    <col min="5386" max="5386" width="7.453125" style="2" bestFit="1" customWidth="1"/>
    <col min="5387" max="5387" width="10.453125" style="2" bestFit="1" customWidth="1"/>
    <col min="5388" max="5388" width="8.81640625" style="2"/>
    <col min="5389" max="5390" width="12.453125" style="2" bestFit="1" customWidth="1"/>
    <col min="5391" max="5391" width="14" style="2" bestFit="1" customWidth="1"/>
    <col min="5392" max="5624" width="8.81640625" style="2"/>
    <col min="5625" max="5625" width="3.81640625" style="2" customWidth="1"/>
    <col min="5626" max="5626" width="8.81640625" style="2"/>
    <col min="5627" max="5627" width="14.453125" style="2" customWidth="1"/>
    <col min="5628" max="5628" width="38.7265625" style="2" customWidth="1"/>
    <col min="5629" max="5633" width="14" style="2" bestFit="1" customWidth="1"/>
    <col min="5634" max="5634" width="10.453125" style="2" bestFit="1" customWidth="1"/>
    <col min="5635" max="5635" width="8.81640625" style="2"/>
    <col min="5636" max="5636" width="11.26953125" style="2" bestFit="1" customWidth="1"/>
    <col min="5637" max="5637" width="5.453125" style="2" bestFit="1" customWidth="1"/>
    <col min="5638" max="5641" width="5" style="2" bestFit="1" customWidth="1"/>
    <col min="5642" max="5642" width="7.453125" style="2" bestFit="1" customWidth="1"/>
    <col min="5643" max="5643" width="10.453125" style="2" bestFit="1" customWidth="1"/>
    <col min="5644" max="5644" width="8.81640625" style="2"/>
    <col min="5645" max="5646" width="12.453125" style="2" bestFit="1" customWidth="1"/>
    <col min="5647" max="5647" width="14" style="2" bestFit="1" customWidth="1"/>
    <col min="5648" max="5880" width="8.81640625" style="2"/>
    <col min="5881" max="5881" width="3.81640625" style="2" customWidth="1"/>
    <col min="5882" max="5882" width="8.81640625" style="2"/>
    <col min="5883" max="5883" width="14.453125" style="2" customWidth="1"/>
    <col min="5884" max="5884" width="38.7265625" style="2" customWidth="1"/>
    <col min="5885" max="5889" width="14" style="2" bestFit="1" customWidth="1"/>
    <col min="5890" max="5890" width="10.453125" style="2" bestFit="1" customWidth="1"/>
    <col min="5891" max="5891" width="8.81640625" style="2"/>
    <col min="5892" max="5892" width="11.26953125" style="2" bestFit="1" customWidth="1"/>
    <col min="5893" max="5893" width="5.453125" style="2" bestFit="1" customWidth="1"/>
    <col min="5894" max="5897" width="5" style="2" bestFit="1" customWidth="1"/>
    <col min="5898" max="5898" width="7.453125" style="2" bestFit="1" customWidth="1"/>
    <col min="5899" max="5899" width="10.453125" style="2" bestFit="1" customWidth="1"/>
    <col min="5900" max="5900" width="8.81640625" style="2"/>
    <col min="5901" max="5902" width="12.453125" style="2" bestFit="1" customWidth="1"/>
    <col min="5903" max="5903" width="14" style="2" bestFit="1" customWidth="1"/>
    <col min="5904" max="6136" width="8.81640625" style="2"/>
    <col min="6137" max="6137" width="3.81640625" style="2" customWidth="1"/>
    <col min="6138" max="6138" width="8.81640625" style="2"/>
    <col min="6139" max="6139" width="14.453125" style="2" customWidth="1"/>
    <col min="6140" max="6140" width="38.7265625" style="2" customWidth="1"/>
    <col min="6141" max="6145" width="14" style="2" bestFit="1" customWidth="1"/>
    <col min="6146" max="6146" width="10.453125" style="2" bestFit="1" customWidth="1"/>
    <col min="6147" max="6147" width="8.81640625" style="2"/>
    <col min="6148" max="6148" width="11.26953125" style="2" bestFit="1" customWidth="1"/>
    <col min="6149" max="6149" width="5.453125" style="2" bestFit="1" customWidth="1"/>
    <col min="6150" max="6153" width="5" style="2" bestFit="1" customWidth="1"/>
    <col min="6154" max="6154" width="7.453125" style="2" bestFit="1" customWidth="1"/>
    <col min="6155" max="6155" width="10.453125" style="2" bestFit="1" customWidth="1"/>
    <col min="6156" max="6156" width="8.81640625" style="2"/>
    <col min="6157" max="6158" width="12.453125" style="2" bestFit="1" customWidth="1"/>
    <col min="6159" max="6159" width="14" style="2" bestFit="1" customWidth="1"/>
    <col min="6160" max="6392" width="8.81640625" style="2"/>
    <col min="6393" max="6393" width="3.81640625" style="2" customWidth="1"/>
    <col min="6394" max="6394" width="8.81640625" style="2"/>
    <col min="6395" max="6395" width="14.453125" style="2" customWidth="1"/>
    <col min="6396" max="6396" width="38.7265625" style="2" customWidth="1"/>
    <col min="6397" max="6401" width="14" style="2" bestFit="1" customWidth="1"/>
    <col min="6402" max="6402" width="10.453125" style="2" bestFit="1" customWidth="1"/>
    <col min="6403" max="6403" width="8.81640625" style="2"/>
    <col min="6404" max="6404" width="11.26953125" style="2" bestFit="1" customWidth="1"/>
    <col min="6405" max="6405" width="5.453125" style="2" bestFit="1" customWidth="1"/>
    <col min="6406" max="6409" width="5" style="2" bestFit="1" customWidth="1"/>
    <col min="6410" max="6410" width="7.453125" style="2" bestFit="1" customWidth="1"/>
    <col min="6411" max="6411" width="10.453125" style="2" bestFit="1" customWidth="1"/>
    <col min="6412" max="6412" width="8.81640625" style="2"/>
    <col min="6413" max="6414" width="12.453125" style="2" bestFit="1" customWidth="1"/>
    <col min="6415" max="6415" width="14" style="2" bestFit="1" customWidth="1"/>
    <col min="6416" max="6648" width="8.81640625" style="2"/>
    <col min="6649" max="6649" width="3.81640625" style="2" customWidth="1"/>
    <col min="6650" max="6650" width="8.81640625" style="2"/>
    <col min="6651" max="6651" width="14.453125" style="2" customWidth="1"/>
    <col min="6652" max="6652" width="38.7265625" style="2" customWidth="1"/>
    <col min="6653" max="6657" width="14" style="2" bestFit="1" customWidth="1"/>
    <col min="6658" max="6658" width="10.453125" style="2" bestFit="1" customWidth="1"/>
    <col min="6659" max="6659" width="8.81640625" style="2"/>
    <col min="6660" max="6660" width="11.26953125" style="2" bestFit="1" customWidth="1"/>
    <col min="6661" max="6661" width="5.453125" style="2" bestFit="1" customWidth="1"/>
    <col min="6662" max="6665" width="5" style="2" bestFit="1" customWidth="1"/>
    <col min="6666" max="6666" width="7.453125" style="2" bestFit="1" customWidth="1"/>
    <col min="6667" max="6667" width="10.453125" style="2" bestFit="1" customWidth="1"/>
    <col min="6668" max="6668" width="8.81640625" style="2"/>
    <col min="6669" max="6670" width="12.453125" style="2" bestFit="1" customWidth="1"/>
    <col min="6671" max="6671" width="14" style="2" bestFit="1" customWidth="1"/>
    <col min="6672" max="6904" width="8.81640625" style="2"/>
    <col min="6905" max="6905" width="3.81640625" style="2" customWidth="1"/>
    <col min="6906" max="6906" width="8.81640625" style="2"/>
    <col min="6907" max="6907" width="14.453125" style="2" customWidth="1"/>
    <col min="6908" max="6908" width="38.7265625" style="2" customWidth="1"/>
    <col min="6909" max="6913" width="14" style="2" bestFit="1" customWidth="1"/>
    <col min="6914" max="6914" width="10.453125" style="2" bestFit="1" customWidth="1"/>
    <col min="6915" max="6915" width="8.81640625" style="2"/>
    <col min="6916" max="6916" width="11.26953125" style="2" bestFit="1" customWidth="1"/>
    <col min="6917" max="6917" width="5.453125" style="2" bestFit="1" customWidth="1"/>
    <col min="6918" max="6921" width="5" style="2" bestFit="1" customWidth="1"/>
    <col min="6922" max="6922" width="7.453125" style="2" bestFit="1" customWidth="1"/>
    <col min="6923" max="6923" width="10.453125" style="2" bestFit="1" customWidth="1"/>
    <col min="6924" max="6924" width="8.81640625" style="2"/>
    <col min="6925" max="6926" width="12.453125" style="2" bestFit="1" customWidth="1"/>
    <col min="6927" max="6927" width="14" style="2" bestFit="1" customWidth="1"/>
    <col min="6928" max="7160" width="8.81640625" style="2"/>
    <col min="7161" max="7161" width="3.81640625" style="2" customWidth="1"/>
    <col min="7162" max="7162" width="8.81640625" style="2"/>
    <col min="7163" max="7163" width="14.453125" style="2" customWidth="1"/>
    <col min="7164" max="7164" width="38.7265625" style="2" customWidth="1"/>
    <col min="7165" max="7169" width="14" style="2" bestFit="1" customWidth="1"/>
    <col min="7170" max="7170" width="10.453125" style="2" bestFit="1" customWidth="1"/>
    <col min="7171" max="7171" width="8.81640625" style="2"/>
    <col min="7172" max="7172" width="11.26953125" style="2" bestFit="1" customWidth="1"/>
    <col min="7173" max="7173" width="5.453125" style="2" bestFit="1" customWidth="1"/>
    <col min="7174" max="7177" width="5" style="2" bestFit="1" customWidth="1"/>
    <col min="7178" max="7178" width="7.453125" style="2" bestFit="1" customWidth="1"/>
    <col min="7179" max="7179" width="10.453125" style="2" bestFit="1" customWidth="1"/>
    <col min="7180" max="7180" width="8.81640625" style="2"/>
    <col min="7181" max="7182" width="12.453125" style="2" bestFit="1" customWidth="1"/>
    <col min="7183" max="7183" width="14" style="2" bestFit="1" customWidth="1"/>
    <col min="7184" max="7416" width="8.81640625" style="2"/>
    <col min="7417" max="7417" width="3.81640625" style="2" customWidth="1"/>
    <col min="7418" max="7418" width="8.81640625" style="2"/>
    <col min="7419" max="7419" width="14.453125" style="2" customWidth="1"/>
    <col min="7420" max="7420" width="38.7265625" style="2" customWidth="1"/>
    <col min="7421" max="7425" width="14" style="2" bestFit="1" customWidth="1"/>
    <col min="7426" max="7426" width="10.453125" style="2" bestFit="1" customWidth="1"/>
    <col min="7427" max="7427" width="8.81640625" style="2"/>
    <col min="7428" max="7428" width="11.26953125" style="2" bestFit="1" customWidth="1"/>
    <col min="7429" max="7429" width="5.453125" style="2" bestFit="1" customWidth="1"/>
    <col min="7430" max="7433" width="5" style="2" bestFit="1" customWidth="1"/>
    <col min="7434" max="7434" width="7.453125" style="2" bestFit="1" customWidth="1"/>
    <col min="7435" max="7435" width="10.453125" style="2" bestFit="1" customWidth="1"/>
    <col min="7436" max="7436" width="8.81640625" style="2"/>
    <col min="7437" max="7438" width="12.453125" style="2" bestFit="1" customWidth="1"/>
    <col min="7439" max="7439" width="14" style="2" bestFit="1" customWidth="1"/>
    <col min="7440" max="7672" width="8.81640625" style="2"/>
    <col min="7673" max="7673" width="3.81640625" style="2" customWidth="1"/>
    <col min="7674" max="7674" width="8.81640625" style="2"/>
    <col min="7675" max="7675" width="14.453125" style="2" customWidth="1"/>
    <col min="7676" max="7676" width="38.7265625" style="2" customWidth="1"/>
    <col min="7677" max="7681" width="14" style="2" bestFit="1" customWidth="1"/>
    <col min="7682" max="7682" width="10.453125" style="2" bestFit="1" customWidth="1"/>
    <col min="7683" max="7683" width="8.81640625" style="2"/>
    <col min="7684" max="7684" width="11.26953125" style="2" bestFit="1" customWidth="1"/>
    <col min="7685" max="7685" width="5.453125" style="2" bestFit="1" customWidth="1"/>
    <col min="7686" max="7689" width="5" style="2" bestFit="1" customWidth="1"/>
    <col min="7690" max="7690" width="7.453125" style="2" bestFit="1" customWidth="1"/>
    <col min="7691" max="7691" width="10.453125" style="2" bestFit="1" customWidth="1"/>
    <col min="7692" max="7692" width="8.81640625" style="2"/>
    <col min="7693" max="7694" width="12.453125" style="2" bestFit="1" customWidth="1"/>
    <col min="7695" max="7695" width="14" style="2" bestFit="1" customWidth="1"/>
    <col min="7696" max="7928" width="8.81640625" style="2"/>
    <col min="7929" max="7929" width="3.81640625" style="2" customWidth="1"/>
    <col min="7930" max="7930" width="8.81640625" style="2"/>
    <col min="7931" max="7931" width="14.453125" style="2" customWidth="1"/>
    <col min="7932" max="7932" width="38.7265625" style="2" customWidth="1"/>
    <col min="7933" max="7937" width="14" style="2" bestFit="1" customWidth="1"/>
    <col min="7938" max="7938" width="10.453125" style="2" bestFit="1" customWidth="1"/>
    <col min="7939" max="7939" width="8.81640625" style="2"/>
    <col min="7940" max="7940" width="11.26953125" style="2" bestFit="1" customWidth="1"/>
    <col min="7941" max="7941" width="5.453125" style="2" bestFit="1" customWidth="1"/>
    <col min="7942" max="7945" width="5" style="2" bestFit="1" customWidth="1"/>
    <col min="7946" max="7946" width="7.453125" style="2" bestFit="1" customWidth="1"/>
    <col min="7947" max="7947" width="10.453125" style="2" bestFit="1" customWidth="1"/>
    <col min="7948" max="7948" width="8.81640625" style="2"/>
    <col min="7949" max="7950" width="12.453125" style="2" bestFit="1" customWidth="1"/>
    <col min="7951" max="7951" width="14" style="2" bestFit="1" customWidth="1"/>
    <col min="7952" max="8184" width="8.81640625" style="2"/>
    <col min="8185" max="8185" width="3.81640625" style="2" customWidth="1"/>
    <col min="8186" max="8186" width="8.81640625" style="2"/>
    <col min="8187" max="8187" width="14.453125" style="2" customWidth="1"/>
    <col min="8188" max="8188" width="38.7265625" style="2" customWidth="1"/>
    <col min="8189" max="8193" width="14" style="2" bestFit="1" customWidth="1"/>
    <col min="8194" max="8194" width="10.453125" style="2" bestFit="1" customWidth="1"/>
    <col min="8195" max="8195" width="8.81640625" style="2"/>
    <col min="8196" max="8196" width="11.26953125" style="2" bestFit="1" customWidth="1"/>
    <col min="8197" max="8197" width="5.453125" style="2" bestFit="1" customWidth="1"/>
    <col min="8198" max="8201" width="5" style="2" bestFit="1" customWidth="1"/>
    <col min="8202" max="8202" width="7.453125" style="2" bestFit="1" customWidth="1"/>
    <col min="8203" max="8203" width="10.453125" style="2" bestFit="1" customWidth="1"/>
    <col min="8204" max="8204" width="8.81640625" style="2"/>
    <col min="8205" max="8206" width="12.453125" style="2" bestFit="1" customWidth="1"/>
    <col min="8207" max="8207" width="14" style="2" bestFit="1" customWidth="1"/>
    <col min="8208" max="8440" width="8.81640625" style="2"/>
    <col min="8441" max="8441" width="3.81640625" style="2" customWidth="1"/>
    <col min="8442" max="8442" width="8.81640625" style="2"/>
    <col min="8443" max="8443" width="14.453125" style="2" customWidth="1"/>
    <col min="8444" max="8444" width="38.7265625" style="2" customWidth="1"/>
    <col min="8445" max="8449" width="14" style="2" bestFit="1" customWidth="1"/>
    <col min="8450" max="8450" width="10.453125" style="2" bestFit="1" customWidth="1"/>
    <col min="8451" max="8451" width="8.81640625" style="2"/>
    <col min="8452" max="8452" width="11.26953125" style="2" bestFit="1" customWidth="1"/>
    <col min="8453" max="8453" width="5.453125" style="2" bestFit="1" customWidth="1"/>
    <col min="8454" max="8457" width="5" style="2" bestFit="1" customWidth="1"/>
    <col min="8458" max="8458" width="7.453125" style="2" bestFit="1" customWidth="1"/>
    <col min="8459" max="8459" width="10.453125" style="2" bestFit="1" customWidth="1"/>
    <col min="8460" max="8460" width="8.81640625" style="2"/>
    <col min="8461" max="8462" width="12.453125" style="2" bestFit="1" customWidth="1"/>
    <col min="8463" max="8463" width="14" style="2" bestFit="1" customWidth="1"/>
    <col min="8464" max="8696" width="8.81640625" style="2"/>
    <col min="8697" max="8697" width="3.81640625" style="2" customWidth="1"/>
    <col min="8698" max="8698" width="8.81640625" style="2"/>
    <col min="8699" max="8699" width="14.453125" style="2" customWidth="1"/>
    <col min="8700" max="8700" width="38.7265625" style="2" customWidth="1"/>
    <col min="8701" max="8705" width="14" style="2" bestFit="1" customWidth="1"/>
    <col min="8706" max="8706" width="10.453125" style="2" bestFit="1" customWidth="1"/>
    <col min="8707" max="8707" width="8.81640625" style="2"/>
    <col min="8708" max="8708" width="11.26953125" style="2" bestFit="1" customWidth="1"/>
    <col min="8709" max="8709" width="5.453125" style="2" bestFit="1" customWidth="1"/>
    <col min="8710" max="8713" width="5" style="2" bestFit="1" customWidth="1"/>
    <col min="8714" max="8714" width="7.453125" style="2" bestFit="1" customWidth="1"/>
    <col min="8715" max="8715" width="10.453125" style="2" bestFit="1" customWidth="1"/>
    <col min="8716" max="8716" width="8.81640625" style="2"/>
    <col min="8717" max="8718" width="12.453125" style="2" bestFit="1" customWidth="1"/>
    <col min="8719" max="8719" width="14" style="2" bestFit="1" customWidth="1"/>
    <col min="8720" max="8952" width="8.81640625" style="2"/>
    <col min="8953" max="8953" width="3.81640625" style="2" customWidth="1"/>
    <col min="8954" max="8954" width="8.81640625" style="2"/>
    <col min="8955" max="8955" width="14.453125" style="2" customWidth="1"/>
    <col min="8956" max="8956" width="38.7265625" style="2" customWidth="1"/>
    <col min="8957" max="8961" width="14" style="2" bestFit="1" customWidth="1"/>
    <col min="8962" max="8962" width="10.453125" style="2" bestFit="1" customWidth="1"/>
    <col min="8963" max="8963" width="8.81640625" style="2"/>
    <col min="8964" max="8964" width="11.26953125" style="2" bestFit="1" customWidth="1"/>
    <col min="8965" max="8965" width="5.453125" style="2" bestFit="1" customWidth="1"/>
    <col min="8966" max="8969" width="5" style="2" bestFit="1" customWidth="1"/>
    <col min="8970" max="8970" width="7.453125" style="2" bestFit="1" customWidth="1"/>
    <col min="8971" max="8971" width="10.453125" style="2" bestFit="1" customWidth="1"/>
    <col min="8972" max="8972" width="8.81640625" style="2"/>
    <col min="8973" max="8974" width="12.453125" style="2" bestFit="1" customWidth="1"/>
    <col min="8975" max="8975" width="14" style="2" bestFit="1" customWidth="1"/>
    <col min="8976" max="9208" width="8.81640625" style="2"/>
    <col min="9209" max="9209" width="3.81640625" style="2" customWidth="1"/>
    <col min="9210" max="9210" width="8.81640625" style="2"/>
    <col min="9211" max="9211" width="14.453125" style="2" customWidth="1"/>
    <col min="9212" max="9212" width="38.7265625" style="2" customWidth="1"/>
    <col min="9213" max="9217" width="14" style="2" bestFit="1" customWidth="1"/>
    <col min="9218" max="9218" width="10.453125" style="2" bestFit="1" customWidth="1"/>
    <col min="9219" max="9219" width="8.81640625" style="2"/>
    <col min="9220" max="9220" width="11.26953125" style="2" bestFit="1" customWidth="1"/>
    <col min="9221" max="9221" width="5.453125" style="2" bestFit="1" customWidth="1"/>
    <col min="9222" max="9225" width="5" style="2" bestFit="1" customWidth="1"/>
    <col min="9226" max="9226" width="7.453125" style="2" bestFit="1" customWidth="1"/>
    <col min="9227" max="9227" width="10.453125" style="2" bestFit="1" customWidth="1"/>
    <col min="9228" max="9228" width="8.81640625" style="2"/>
    <col min="9229" max="9230" width="12.453125" style="2" bestFit="1" customWidth="1"/>
    <col min="9231" max="9231" width="14" style="2" bestFit="1" customWidth="1"/>
    <col min="9232" max="9464" width="8.81640625" style="2"/>
    <col min="9465" max="9465" width="3.81640625" style="2" customWidth="1"/>
    <col min="9466" max="9466" width="8.81640625" style="2"/>
    <col min="9467" max="9467" width="14.453125" style="2" customWidth="1"/>
    <col min="9468" max="9468" width="38.7265625" style="2" customWidth="1"/>
    <col min="9469" max="9473" width="14" style="2" bestFit="1" customWidth="1"/>
    <col min="9474" max="9474" width="10.453125" style="2" bestFit="1" customWidth="1"/>
    <col min="9475" max="9475" width="8.81640625" style="2"/>
    <col min="9476" max="9476" width="11.26953125" style="2" bestFit="1" customWidth="1"/>
    <col min="9477" max="9477" width="5.453125" style="2" bestFit="1" customWidth="1"/>
    <col min="9478" max="9481" width="5" style="2" bestFit="1" customWidth="1"/>
    <col min="9482" max="9482" width="7.453125" style="2" bestFit="1" customWidth="1"/>
    <col min="9483" max="9483" width="10.453125" style="2" bestFit="1" customWidth="1"/>
    <col min="9484" max="9484" width="8.81640625" style="2"/>
    <col min="9485" max="9486" width="12.453125" style="2" bestFit="1" customWidth="1"/>
    <col min="9487" max="9487" width="14" style="2" bestFit="1" customWidth="1"/>
    <col min="9488" max="9720" width="8.81640625" style="2"/>
    <col min="9721" max="9721" width="3.81640625" style="2" customWidth="1"/>
    <col min="9722" max="9722" width="8.81640625" style="2"/>
    <col min="9723" max="9723" width="14.453125" style="2" customWidth="1"/>
    <col min="9724" max="9724" width="38.7265625" style="2" customWidth="1"/>
    <col min="9725" max="9729" width="14" style="2" bestFit="1" customWidth="1"/>
    <col min="9730" max="9730" width="10.453125" style="2" bestFit="1" customWidth="1"/>
    <col min="9731" max="9731" width="8.81640625" style="2"/>
    <col min="9732" max="9732" width="11.26953125" style="2" bestFit="1" customWidth="1"/>
    <col min="9733" max="9733" width="5.453125" style="2" bestFit="1" customWidth="1"/>
    <col min="9734" max="9737" width="5" style="2" bestFit="1" customWidth="1"/>
    <col min="9738" max="9738" width="7.453125" style="2" bestFit="1" customWidth="1"/>
    <col min="9739" max="9739" width="10.453125" style="2" bestFit="1" customWidth="1"/>
    <col min="9740" max="9740" width="8.81640625" style="2"/>
    <col min="9741" max="9742" width="12.453125" style="2" bestFit="1" customWidth="1"/>
    <col min="9743" max="9743" width="14" style="2" bestFit="1" customWidth="1"/>
    <col min="9744" max="9976" width="8.81640625" style="2"/>
    <col min="9977" max="9977" width="3.81640625" style="2" customWidth="1"/>
    <col min="9978" max="9978" width="8.81640625" style="2"/>
    <col min="9979" max="9979" width="14.453125" style="2" customWidth="1"/>
    <col min="9980" max="9980" width="38.7265625" style="2" customWidth="1"/>
    <col min="9981" max="9985" width="14" style="2" bestFit="1" customWidth="1"/>
    <col min="9986" max="9986" width="10.453125" style="2" bestFit="1" customWidth="1"/>
    <col min="9987" max="9987" width="8.81640625" style="2"/>
    <col min="9988" max="9988" width="11.26953125" style="2" bestFit="1" customWidth="1"/>
    <col min="9989" max="9989" width="5.453125" style="2" bestFit="1" customWidth="1"/>
    <col min="9990" max="9993" width="5" style="2" bestFit="1" customWidth="1"/>
    <col min="9994" max="9994" width="7.453125" style="2" bestFit="1" customWidth="1"/>
    <col min="9995" max="9995" width="10.453125" style="2" bestFit="1" customWidth="1"/>
    <col min="9996" max="9996" width="8.81640625" style="2"/>
    <col min="9997" max="9998" width="12.453125" style="2" bestFit="1" customWidth="1"/>
    <col min="9999" max="9999" width="14" style="2" bestFit="1" customWidth="1"/>
    <col min="10000" max="10232" width="8.81640625" style="2"/>
    <col min="10233" max="10233" width="3.81640625" style="2" customWidth="1"/>
    <col min="10234" max="10234" width="8.81640625" style="2"/>
    <col min="10235" max="10235" width="14.453125" style="2" customWidth="1"/>
    <col min="10236" max="10236" width="38.7265625" style="2" customWidth="1"/>
    <col min="10237" max="10241" width="14" style="2" bestFit="1" customWidth="1"/>
    <col min="10242" max="10242" width="10.453125" style="2" bestFit="1" customWidth="1"/>
    <col min="10243" max="10243" width="8.81640625" style="2"/>
    <col min="10244" max="10244" width="11.26953125" style="2" bestFit="1" customWidth="1"/>
    <col min="10245" max="10245" width="5.453125" style="2" bestFit="1" customWidth="1"/>
    <col min="10246" max="10249" width="5" style="2" bestFit="1" customWidth="1"/>
    <col min="10250" max="10250" width="7.453125" style="2" bestFit="1" customWidth="1"/>
    <col min="10251" max="10251" width="10.453125" style="2" bestFit="1" customWidth="1"/>
    <col min="10252" max="10252" width="8.81640625" style="2"/>
    <col min="10253" max="10254" width="12.453125" style="2" bestFit="1" customWidth="1"/>
    <col min="10255" max="10255" width="14" style="2" bestFit="1" customWidth="1"/>
    <col min="10256" max="10488" width="8.81640625" style="2"/>
    <col min="10489" max="10489" width="3.81640625" style="2" customWidth="1"/>
    <col min="10490" max="10490" width="8.81640625" style="2"/>
    <col min="10491" max="10491" width="14.453125" style="2" customWidth="1"/>
    <col min="10492" max="10492" width="38.7265625" style="2" customWidth="1"/>
    <col min="10493" max="10497" width="14" style="2" bestFit="1" customWidth="1"/>
    <col min="10498" max="10498" width="10.453125" style="2" bestFit="1" customWidth="1"/>
    <col min="10499" max="10499" width="8.81640625" style="2"/>
    <col min="10500" max="10500" width="11.26953125" style="2" bestFit="1" customWidth="1"/>
    <col min="10501" max="10501" width="5.453125" style="2" bestFit="1" customWidth="1"/>
    <col min="10502" max="10505" width="5" style="2" bestFit="1" customWidth="1"/>
    <col min="10506" max="10506" width="7.453125" style="2" bestFit="1" customWidth="1"/>
    <col min="10507" max="10507" width="10.453125" style="2" bestFit="1" customWidth="1"/>
    <col min="10508" max="10508" width="8.81640625" style="2"/>
    <col min="10509" max="10510" width="12.453125" style="2" bestFit="1" customWidth="1"/>
    <col min="10511" max="10511" width="14" style="2" bestFit="1" customWidth="1"/>
    <col min="10512" max="10744" width="8.81640625" style="2"/>
    <col min="10745" max="10745" width="3.81640625" style="2" customWidth="1"/>
    <col min="10746" max="10746" width="8.81640625" style="2"/>
    <col min="10747" max="10747" width="14.453125" style="2" customWidth="1"/>
    <col min="10748" max="10748" width="38.7265625" style="2" customWidth="1"/>
    <col min="10749" max="10753" width="14" style="2" bestFit="1" customWidth="1"/>
    <col min="10754" max="10754" width="10.453125" style="2" bestFit="1" customWidth="1"/>
    <col min="10755" max="10755" width="8.81640625" style="2"/>
    <col min="10756" max="10756" width="11.26953125" style="2" bestFit="1" customWidth="1"/>
    <col min="10757" max="10757" width="5.453125" style="2" bestFit="1" customWidth="1"/>
    <col min="10758" max="10761" width="5" style="2" bestFit="1" customWidth="1"/>
    <col min="10762" max="10762" width="7.453125" style="2" bestFit="1" customWidth="1"/>
    <col min="10763" max="10763" width="10.453125" style="2" bestFit="1" customWidth="1"/>
    <col min="10764" max="10764" width="8.81640625" style="2"/>
    <col min="10765" max="10766" width="12.453125" style="2" bestFit="1" customWidth="1"/>
    <col min="10767" max="10767" width="14" style="2" bestFit="1" customWidth="1"/>
    <col min="10768" max="11000" width="8.81640625" style="2"/>
    <col min="11001" max="11001" width="3.81640625" style="2" customWidth="1"/>
    <col min="11002" max="11002" width="8.81640625" style="2"/>
    <col min="11003" max="11003" width="14.453125" style="2" customWidth="1"/>
    <col min="11004" max="11004" width="38.7265625" style="2" customWidth="1"/>
    <col min="11005" max="11009" width="14" style="2" bestFit="1" customWidth="1"/>
    <col min="11010" max="11010" width="10.453125" style="2" bestFit="1" customWidth="1"/>
    <col min="11011" max="11011" width="8.81640625" style="2"/>
    <col min="11012" max="11012" width="11.26953125" style="2" bestFit="1" customWidth="1"/>
    <col min="11013" max="11013" width="5.453125" style="2" bestFit="1" customWidth="1"/>
    <col min="11014" max="11017" width="5" style="2" bestFit="1" customWidth="1"/>
    <col min="11018" max="11018" width="7.453125" style="2" bestFit="1" customWidth="1"/>
    <col min="11019" max="11019" width="10.453125" style="2" bestFit="1" customWidth="1"/>
    <col min="11020" max="11020" width="8.81640625" style="2"/>
    <col min="11021" max="11022" width="12.453125" style="2" bestFit="1" customWidth="1"/>
    <col min="11023" max="11023" width="14" style="2" bestFit="1" customWidth="1"/>
    <col min="11024" max="11256" width="8.81640625" style="2"/>
    <col min="11257" max="11257" width="3.81640625" style="2" customWidth="1"/>
    <col min="11258" max="11258" width="8.81640625" style="2"/>
    <col min="11259" max="11259" width="14.453125" style="2" customWidth="1"/>
    <col min="11260" max="11260" width="38.7265625" style="2" customWidth="1"/>
    <col min="11261" max="11265" width="14" style="2" bestFit="1" customWidth="1"/>
    <col min="11266" max="11266" width="10.453125" style="2" bestFit="1" customWidth="1"/>
    <col min="11267" max="11267" width="8.81640625" style="2"/>
    <col min="11268" max="11268" width="11.26953125" style="2" bestFit="1" customWidth="1"/>
    <col min="11269" max="11269" width="5.453125" style="2" bestFit="1" customWidth="1"/>
    <col min="11270" max="11273" width="5" style="2" bestFit="1" customWidth="1"/>
    <col min="11274" max="11274" width="7.453125" style="2" bestFit="1" customWidth="1"/>
    <col min="11275" max="11275" width="10.453125" style="2" bestFit="1" customWidth="1"/>
    <col min="11276" max="11276" width="8.81640625" style="2"/>
    <col min="11277" max="11278" width="12.453125" style="2" bestFit="1" customWidth="1"/>
    <col min="11279" max="11279" width="14" style="2" bestFit="1" customWidth="1"/>
    <col min="11280" max="11512" width="8.81640625" style="2"/>
    <col min="11513" max="11513" width="3.81640625" style="2" customWidth="1"/>
    <col min="11514" max="11514" width="8.81640625" style="2"/>
    <col min="11515" max="11515" width="14.453125" style="2" customWidth="1"/>
    <col min="11516" max="11516" width="38.7265625" style="2" customWidth="1"/>
    <col min="11517" max="11521" width="14" style="2" bestFit="1" customWidth="1"/>
    <col min="11522" max="11522" width="10.453125" style="2" bestFit="1" customWidth="1"/>
    <col min="11523" max="11523" width="8.81640625" style="2"/>
    <col min="11524" max="11524" width="11.26953125" style="2" bestFit="1" customWidth="1"/>
    <col min="11525" max="11525" width="5.453125" style="2" bestFit="1" customWidth="1"/>
    <col min="11526" max="11529" width="5" style="2" bestFit="1" customWidth="1"/>
    <col min="11530" max="11530" width="7.453125" style="2" bestFit="1" customWidth="1"/>
    <col min="11531" max="11531" width="10.453125" style="2" bestFit="1" customWidth="1"/>
    <col min="11532" max="11532" width="8.81640625" style="2"/>
    <col min="11533" max="11534" width="12.453125" style="2" bestFit="1" customWidth="1"/>
    <col min="11535" max="11535" width="14" style="2" bestFit="1" customWidth="1"/>
    <col min="11536" max="11768" width="8.81640625" style="2"/>
    <col min="11769" max="11769" width="3.81640625" style="2" customWidth="1"/>
    <col min="11770" max="11770" width="8.81640625" style="2"/>
    <col min="11771" max="11771" width="14.453125" style="2" customWidth="1"/>
    <col min="11772" max="11772" width="38.7265625" style="2" customWidth="1"/>
    <col min="11773" max="11777" width="14" style="2" bestFit="1" customWidth="1"/>
    <col min="11778" max="11778" width="10.453125" style="2" bestFit="1" customWidth="1"/>
    <col min="11779" max="11779" width="8.81640625" style="2"/>
    <col min="11780" max="11780" width="11.26953125" style="2" bestFit="1" customWidth="1"/>
    <col min="11781" max="11781" width="5.453125" style="2" bestFit="1" customWidth="1"/>
    <col min="11782" max="11785" width="5" style="2" bestFit="1" customWidth="1"/>
    <col min="11786" max="11786" width="7.453125" style="2" bestFit="1" customWidth="1"/>
    <col min="11787" max="11787" width="10.453125" style="2" bestFit="1" customWidth="1"/>
    <col min="11788" max="11788" width="8.81640625" style="2"/>
    <col min="11789" max="11790" width="12.453125" style="2" bestFit="1" customWidth="1"/>
    <col min="11791" max="11791" width="14" style="2" bestFit="1" customWidth="1"/>
    <col min="11792" max="12024" width="8.81640625" style="2"/>
    <col min="12025" max="12025" width="3.81640625" style="2" customWidth="1"/>
    <col min="12026" max="12026" width="8.81640625" style="2"/>
    <col min="12027" max="12027" width="14.453125" style="2" customWidth="1"/>
    <col min="12028" max="12028" width="38.7265625" style="2" customWidth="1"/>
    <col min="12029" max="12033" width="14" style="2" bestFit="1" customWidth="1"/>
    <col min="12034" max="12034" width="10.453125" style="2" bestFit="1" customWidth="1"/>
    <col min="12035" max="12035" width="8.81640625" style="2"/>
    <col min="12036" max="12036" width="11.26953125" style="2" bestFit="1" customWidth="1"/>
    <col min="12037" max="12037" width="5.453125" style="2" bestFit="1" customWidth="1"/>
    <col min="12038" max="12041" width="5" style="2" bestFit="1" customWidth="1"/>
    <col min="12042" max="12042" width="7.453125" style="2" bestFit="1" customWidth="1"/>
    <col min="12043" max="12043" width="10.453125" style="2" bestFit="1" customWidth="1"/>
    <col min="12044" max="12044" width="8.81640625" style="2"/>
    <col min="12045" max="12046" width="12.453125" style="2" bestFit="1" customWidth="1"/>
    <col min="12047" max="12047" width="14" style="2" bestFit="1" customWidth="1"/>
    <col min="12048" max="12280" width="8.81640625" style="2"/>
    <col min="12281" max="12281" width="3.81640625" style="2" customWidth="1"/>
    <col min="12282" max="12282" width="8.81640625" style="2"/>
    <col min="12283" max="12283" width="14.453125" style="2" customWidth="1"/>
    <col min="12284" max="12284" width="38.7265625" style="2" customWidth="1"/>
    <col min="12285" max="12289" width="14" style="2" bestFit="1" customWidth="1"/>
    <col min="12290" max="12290" width="10.453125" style="2" bestFit="1" customWidth="1"/>
    <col min="12291" max="12291" width="8.81640625" style="2"/>
    <col min="12292" max="12292" width="11.26953125" style="2" bestFit="1" customWidth="1"/>
    <col min="12293" max="12293" width="5.453125" style="2" bestFit="1" customWidth="1"/>
    <col min="12294" max="12297" width="5" style="2" bestFit="1" customWidth="1"/>
    <col min="12298" max="12298" width="7.453125" style="2" bestFit="1" customWidth="1"/>
    <col min="12299" max="12299" width="10.453125" style="2" bestFit="1" customWidth="1"/>
    <col min="12300" max="12300" width="8.81640625" style="2"/>
    <col min="12301" max="12302" width="12.453125" style="2" bestFit="1" customWidth="1"/>
    <col min="12303" max="12303" width="14" style="2" bestFit="1" customWidth="1"/>
    <col min="12304" max="12536" width="8.81640625" style="2"/>
    <col min="12537" max="12537" width="3.81640625" style="2" customWidth="1"/>
    <col min="12538" max="12538" width="8.81640625" style="2"/>
    <col min="12539" max="12539" width="14.453125" style="2" customWidth="1"/>
    <col min="12540" max="12540" width="38.7265625" style="2" customWidth="1"/>
    <col min="12541" max="12545" width="14" style="2" bestFit="1" customWidth="1"/>
    <col min="12546" max="12546" width="10.453125" style="2" bestFit="1" customWidth="1"/>
    <col min="12547" max="12547" width="8.81640625" style="2"/>
    <col min="12548" max="12548" width="11.26953125" style="2" bestFit="1" customWidth="1"/>
    <col min="12549" max="12549" width="5.453125" style="2" bestFit="1" customWidth="1"/>
    <col min="12550" max="12553" width="5" style="2" bestFit="1" customWidth="1"/>
    <col min="12554" max="12554" width="7.453125" style="2" bestFit="1" customWidth="1"/>
    <col min="12555" max="12555" width="10.453125" style="2" bestFit="1" customWidth="1"/>
    <col min="12556" max="12556" width="8.81640625" style="2"/>
    <col min="12557" max="12558" width="12.453125" style="2" bestFit="1" customWidth="1"/>
    <col min="12559" max="12559" width="14" style="2" bestFit="1" customWidth="1"/>
    <col min="12560" max="12792" width="8.81640625" style="2"/>
    <col min="12793" max="12793" width="3.81640625" style="2" customWidth="1"/>
    <col min="12794" max="12794" width="8.81640625" style="2"/>
    <col min="12795" max="12795" width="14.453125" style="2" customWidth="1"/>
    <col min="12796" max="12796" width="38.7265625" style="2" customWidth="1"/>
    <col min="12797" max="12801" width="14" style="2" bestFit="1" customWidth="1"/>
    <col min="12802" max="12802" width="10.453125" style="2" bestFit="1" customWidth="1"/>
    <col min="12803" max="12803" width="8.81640625" style="2"/>
    <col min="12804" max="12804" width="11.26953125" style="2" bestFit="1" customWidth="1"/>
    <col min="12805" max="12805" width="5.453125" style="2" bestFit="1" customWidth="1"/>
    <col min="12806" max="12809" width="5" style="2" bestFit="1" customWidth="1"/>
    <col min="12810" max="12810" width="7.453125" style="2" bestFit="1" customWidth="1"/>
    <col min="12811" max="12811" width="10.453125" style="2" bestFit="1" customWidth="1"/>
    <col min="12812" max="12812" width="8.81640625" style="2"/>
    <col min="12813" max="12814" width="12.453125" style="2" bestFit="1" customWidth="1"/>
    <col min="12815" max="12815" width="14" style="2" bestFit="1" customWidth="1"/>
    <col min="12816" max="13048" width="8.81640625" style="2"/>
    <col min="13049" max="13049" width="3.81640625" style="2" customWidth="1"/>
    <col min="13050" max="13050" width="8.81640625" style="2"/>
    <col min="13051" max="13051" width="14.453125" style="2" customWidth="1"/>
    <col min="13052" max="13052" width="38.7265625" style="2" customWidth="1"/>
    <col min="13053" max="13057" width="14" style="2" bestFit="1" customWidth="1"/>
    <col min="13058" max="13058" width="10.453125" style="2" bestFit="1" customWidth="1"/>
    <col min="13059" max="13059" width="8.81640625" style="2"/>
    <col min="13060" max="13060" width="11.26953125" style="2" bestFit="1" customWidth="1"/>
    <col min="13061" max="13061" width="5.453125" style="2" bestFit="1" customWidth="1"/>
    <col min="13062" max="13065" width="5" style="2" bestFit="1" customWidth="1"/>
    <col min="13066" max="13066" width="7.453125" style="2" bestFit="1" customWidth="1"/>
    <col min="13067" max="13067" width="10.453125" style="2" bestFit="1" customWidth="1"/>
    <col min="13068" max="13068" width="8.81640625" style="2"/>
    <col min="13069" max="13070" width="12.453125" style="2" bestFit="1" customWidth="1"/>
    <col min="13071" max="13071" width="14" style="2" bestFit="1" customWidth="1"/>
    <col min="13072" max="13304" width="8.81640625" style="2"/>
    <col min="13305" max="13305" width="3.81640625" style="2" customWidth="1"/>
    <col min="13306" max="13306" width="8.81640625" style="2"/>
    <col min="13307" max="13307" width="14.453125" style="2" customWidth="1"/>
    <col min="13308" max="13308" width="38.7265625" style="2" customWidth="1"/>
    <col min="13309" max="13313" width="14" style="2" bestFit="1" customWidth="1"/>
    <col min="13314" max="13314" width="10.453125" style="2" bestFit="1" customWidth="1"/>
    <col min="13315" max="13315" width="8.81640625" style="2"/>
    <col min="13316" max="13316" width="11.26953125" style="2" bestFit="1" customWidth="1"/>
    <col min="13317" max="13317" width="5.453125" style="2" bestFit="1" customWidth="1"/>
    <col min="13318" max="13321" width="5" style="2" bestFit="1" customWidth="1"/>
    <col min="13322" max="13322" width="7.453125" style="2" bestFit="1" customWidth="1"/>
    <col min="13323" max="13323" width="10.453125" style="2" bestFit="1" customWidth="1"/>
    <col min="13324" max="13324" width="8.81640625" style="2"/>
    <col min="13325" max="13326" width="12.453125" style="2" bestFit="1" customWidth="1"/>
    <col min="13327" max="13327" width="14" style="2" bestFit="1" customWidth="1"/>
    <col min="13328" max="13560" width="8.81640625" style="2"/>
    <col min="13561" max="13561" width="3.81640625" style="2" customWidth="1"/>
    <col min="13562" max="13562" width="8.81640625" style="2"/>
    <col min="13563" max="13563" width="14.453125" style="2" customWidth="1"/>
    <col min="13564" max="13564" width="38.7265625" style="2" customWidth="1"/>
    <col min="13565" max="13569" width="14" style="2" bestFit="1" customWidth="1"/>
    <col min="13570" max="13570" width="10.453125" style="2" bestFit="1" customWidth="1"/>
    <col min="13571" max="13571" width="8.81640625" style="2"/>
    <col min="13572" max="13572" width="11.26953125" style="2" bestFit="1" customWidth="1"/>
    <col min="13573" max="13573" width="5.453125" style="2" bestFit="1" customWidth="1"/>
    <col min="13574" max="13577" width="5" style="2" bestFit="1" customWidth="1"/>
    <col min="13578" max="13578" width="7.453125" style="2" bestFit="1" customWidth="1"/>
    <col min="13579" max="13579" width="10.453125" style="2" bestFit="1" customWidth="1"/>
    <col min="13580" max="13580" width="8.81640625" style="2"/>
    <col min="13581" max="13582" width="12.453125" style="2" bestFit="1" customWidth="1"/>
    <col min="13583" max="13583" width="14" style="2" bestFit="1" customWidth="1"/>
    <col min="13584" max="13816" width="8.81640625" style="2"/>
    <col min="13817" max="13817" width="3.81640625" style="2" customWidth="1"/>
    <col min="13818" max="13818" width="8.81640625" style="2"/>
    <col min="13819" max="13819" width="14.453125" style="2" customWidth="1"/>
    <col min="13820" max="13820" width="38.7265625" style="2" customWidth="1"/>
    <col min="13821" max="13825" width="14" style="2" bestFit="1" customWidth="1"/>
    <col min="13826" max="13826" width="10.453125" style="2" bestFit="1" customWidth="1"/>
    <col min="13827" max="13827" width="8.81640625" style="2"/>
    <col min="13828" max="13828" width="11.26953125" style="2" bestFit="1" customWidth="1"/>
    <col min="13829" max="13829" width="5.453125" style="2" bestFit="1" customWidth="1"/>
    <col min="13830" max="13833" width="5" style="2" bestFit="1" customWidth="1"/>
    <col min="13834" max="13834" width="7.453125" style="2" bestFit="1" customWidth="1"/>
    <col min="13835" max="13835" width="10.453125" style="2" bestFit="1" customWidth="1"/>
    <col min="13836" max="13836" width="8.81640625" style="2"/>
    <col min="13837" max="13838" width="12.453125" style="2" bestFit="1" customWidth="1"/>
    <col min="13839" max="13839" width="14" style="2" bestFit="1" customWidth="1"/>
    <col min="13840" max="14072" width="8.81640625" style="2"/>
    <col min="14073" max="14073" width="3.81640625" style="2" customWidth="1"/>
    <col min="14074" max="14074" width="8.81640625" style="2"/>
    <col min="14075" max="14075" width="14.453125" style="2" customWidth="1"/>
    <col min="14076" max="14076" width="38.7265625" style="2" customWidth="1"/>
    <col min="14077" max="14081" width="14" style="2" bestFit="1" customWidth="1"/>
    <col min="14082" max="14082" width="10.453125" style="2" bestFit="1" customWidth="1"/>
    <col min="14083" max="14083" width="8.81640625" style="2"/>
    <col min="14084" max="14084" width="11.26953125" style="2" bestFit="1" customWidth="1"/>
    <col min="14085" max="14085" width="5.453125" style="2" bestFit="1" customWidth="1"/>
    <col min="14086" max="14089" width="5" style="2" bestFit="1" customWidth="1"/>
    <col min="14090" max="14090" width="7.453125" style="2" bestFit="1" customWidth="1"/>
    <col min="14091" max="14091" width="10.453125" style="2" bestFit="1" customWidth="1"/>
    <col min="14092" max="14092" width="8.81640625" style="2"/>
    <col min="14093" max="14094" width="12.453125" style="2" bestFit="1" customWidth="1"/>
    <col min="14095" max="14095" width="14" style="2" bestFit="1" customWidth="1"/>
    <col min="14096" max="14328" width="8.81640625" style="2"/>
    <col min="14329" max="14329" width="3.81640625" style="2" customWidth="1"/>
    <col min="14330" max="14330" width="8.81640625" style="2"/>
    <col min="14331" max="14331" width="14.453125" style="2" customWidth="1"/>
    <col min="14332" max="14332" width="38.7265625" style="2" customWidth="1"/>
    <col min="14333" max="14337" width="14" style="2" bestFit="1" customWidth="1"/>
    <col min="14338" max="14338" width="10.453125" style="2" bestFit="1" customWidth="1"/>
    <col min="14339" max="14339" width="8.81640625" style="2"/>
    <col min="14340" max="14340" width="11.26953125" style="2" bestFit="1" customWidth="1"/>
    <col min="14341" max="14341" width="5.453125" style="2" bestFit="1" customWidth="1"/>
    <col min="14342" max="14345" width="5" style="2" bestFit="1" customWidth="1"/>
    <col min="14346" max="14346" width="7.453125" style="2" bestFit="1" customWidth="1"/>
    <col min="14347" max="14347" width="10.453125" style="2" bestFit="1" customWidth="1"/>
    <col min="14348" max="14348" width="8.81640625" style="2"/>
    <col min="14349" max="14350" width="12.453125" style="2" bestFit="1" customWidth="1"/>
    <col min="14351" max="14351" width="14" style="2" bestFit="1" customWidth="1"/>
    <col min="14352" max="14584" width="8.81640625" style="2"/>
    <col min="14585" max="14585" width="3.81640625" style="2" customWidth="1"/>
    <col min="14586" max="14586" width="8.81640625" style="2"/>
    <col min="14587" max="14587" width="14.453125" style="2" customWidth="1"/>
    <col min="14588" max="14588" width="38.7265625" style="2" customWidth="1"/>
    <col min="14589" max="14593" width="14" style="2" bestFit="1" customWidth="1"/>
    <col min="14594" max="14594" width="10.453125" style="2" bestFit="1" customWidth="1"/>
    <col min="14595" max="14595" width="8.81640625" style="2"/>
    <col min="14596" max="14596" width="11.26953125" style="2" bestFit="1" customWidth="1"/>
    <col min="14597" max="14597" width="5.453125" style="2" bestFit="1" customWidth="1"/>
    <col min="14598" max="14601" width="5" style="2" bestFit="1" customWidth="1"/>
    <col min="14602" max="14602" width="7.453125" style="2" bestFit="1" customWidth="1"/>
    <col min="14603" max="14603" width="10.453125" style="2" bestFit="1" customWidth="1"/>
    <col min="14604" max="14604" width="8.81640625" style="2"/>
    <col min="14605" max="14606" width="12.453125" style="2" bestFit="1" customWidth="1"/>
    <col min="14607" max="14607" width="14" style="2" bestFit="1" customWidth="1"/>
    <col min="14608" max="14840" width="8.81640625" style="2"/>
    <col min="14841" max="14841" width="3.81640625" style="2" customWidth="1"/>
    <col min="14842" max="14842" width="8.81640625" style="2"/>
    <col min="14843" max="14843" width="14.453125" style="2" customWidth="1"/>
    <col min="14844" max="14844" width="38.7265625" style="2" customWidth="1"/>
    <col min="14845" max="14849" width="14" style="2" bestFit="1" customWidth="1"/>
    <col min="14850" max="14850" width="10.453125" style="2" bestFit="1" customWidth="1"/>
    <col min="14851" max="14851" width="8.81640625" style="2"/>
    <col min="14852" max="14852" width="11.26953125" style="2" bestFit="1" customWidth="1"/>
    <col min="14853" max="14853" width="5.453125" style="2" bestFit="1" customWidth="1"/>
    <col min="14854" max="14857" width="5" style="2" bestFit="1" customWidth="1"/>
    <col min="14858" max="14858" width="7.453125" style="2" bestFit="1" customWidth="1"/>
    <col min="14859" max="14859" width="10.453125" style="2" bestFit="1" customWidth="1"/>
    <col min="14860" max="14860" width="8.81640625" style="2"/>
    <col min="14861" max="14862" width="12.453125" style="2" bestFit="1" customWidth="1"/>
    <col min="14863" max="14863" width="14" style="2" bestFit="1" customWidth="1"/>
    <col min="14864" max="15096" width="8.81640625" style="2"/>
    <col min="15097" max="15097" width="3.81640625" style="2" customWidth="1"/>
    <col min="15098" max="15098" width="8.81640625" style="2"/>
    <col min="15099" max="15099" width="14.453125" style="2" customWidth="1"/>
    <col min="15100" max="15100" width="38.7265625" style="2" customWidth="1"/>
    <col min="15101" max="15105" width="14" style="2" bestFit="1" customWidth="1"/>
    <col min="15106" max="15106" width="10.453125" style="2" bestFit="1" customWidth="1"/>
    <col min="15107" max="15107" width="8.81640625" style="2"/>
    <col min="15108" max="15108" width="11.26953125" style="2" bestFit="1" customWidth="1"/>
    <col min="15109" max="15109" width="5.453125" style="2" bestFit="1" customWidth="1"/>
    <col min="15110" max="15113" width="5" style="2" bestFit="1" customWidth="1"/>
    <col min="15114" max="15114" width="7.453125" style="2" bestFit="1" customWidth="1"/>
    <col min="15115" max="15115" width="10.453125" style="2" bestFit="1" customWidth="1"/>
    <col min="15116" max="15116" width="8.81640625" style="2"/>
    <col min="15117" max="15118" width="12.453125" style="2" bestFit="1" customWidth="1"/>
    <col min="15119" max="15119" width="14" style="2" bestFit="1" customWidth="1"/>
    <col min="15120" max="15352" width="8.81640625" style="2"/>
    <col min="15353" max="15353" width="3.81640625" style="2" customWidth="1"/>
    <col min="15354" max="15354" width="8.81640625" style="2"/>
    <col min="15355" max="15355" width="14.453125" style="2" customWidth="1"/>
    <col min="15356" max="15356" width="38.7265625" style="2" customWidth="1"/>
    <col min="15357" max="15361" width="14" style="2" bestFit="1" customWidth="1"/>
    <col min="15362" max="15362" width="10.453125" style="2" bestFit="1" customWidth="1"/>
    <col min="15363" max="15363" width="8.81640625" style="2"/>
    <col min="15364" max="15364" width="11.26953125" style="2" bestFit="1" customWidth="1"/>
    <col min="15365" max="15365" width="5.453125" style="2" bestFit="1" customWidth="1"/>
    <col min="15366" max="15369" width="5" style="2" bestFit="1" customWidth="1"/>
    <col min="15370" max="15370" width="7.453125" style="2" bestFit="1" customWidth="1"/>
    <col min="15371" max="15371" width="10.453125" style="2" bestFit="1" customWidth="1"/>
    <col min="15372" max="15372" width="8.81640625" style="2"/>
    <col min="15373" max="15374" width="12.453125" style="2" bestFit="1" customWidth="1"/>
    <col min="15375" max="15375" width="14" style="2" bestFit="1" customWidth="1"/>
    <col min="15376" max="15608" width="8.81640625" style="2"/>
    <col min="15609" max="15609" width="3.81640625" style="2" customWidth="1"/>
    <col min="15610" max="15610" width="8.81640625" style="2"/>
    <col min="15611" max="15611" width="14.453125" style="2" customWidth="1"/>
    <col min="15612" max="15612" width="38.7265625" style="2" customWidth="1"/>
    <col min="15613" max="15617" width="14" style="2" bestFit="1" customWidth="1"/>
    <col min="15618" max="15618" width="10.453125" style="2" bestFit="1" customWidth="1"/>
    <col min="15619" max="15619" width="8.81640625" style="2"/>
    <col min="15620" max="15620" width="11.26953125" style="2" bestFit="1" customWidth="1"/>
    <col min="15621" max="15621" width="5.453125" style="2" bestFit="1" customWidth="1"/>
    <col min="15622" max="15625" width="5" style="2" bestFit="1" customWidth="1"/>
    <col min="15626" max="15626" width="7.453125" style="2" bestFit="1" customWidth="1"/>
    <col min="15627" max="15627" width="10.453125" style="2" bestFit="1" customWidth="1"/>
    <col min="15628" max="15628" width="8.81640625" style="2"/>
    <col min="15629" max="15630" width="12.453125" style="2" bestFit="1" customWidth="1"/>
    <col min="15631" max="15631" width="14" style="2" bestFit="1" customWidth="1"/>
    <col min="15632" max="15864" width="8.81640625" style="2"/>
    <col min="15865" max="15865" width="3.81640625" style="2" customWidth="1"/>
    <col min="15866" max="15866" width="8.81640625" style="2"/>
    <col min="15867" max="15867" width="14.453125" style="2" customWidth="1"/>
    <col min="15868" max="15868" width="38.7265625" style="2" customWidth="1"/>
    <col min="15869" max="15873" width="14" style="2" bestFit="1" customWidth="1"/>
    <col min="15874" max="15874" width="10.453125" style="2" bestFit="1" customWidth="1"/>
    <col min="15875" max="15875" width="8.81640625" style="2"/>
    <col min="15876" max="15876" width="11.26953125" style="2" bestFit="1" customWidth="1"/>
    <col min="15877" max="15877" width="5.453125" style="2" bestFit="1" customWidth="1"/>
    <col min="15878" max="15881" width="5" style="2" bestFit="1" customWidth="1"/>
    <col min="15882" max="15882" width="7.453125" style="2" bestFit="1" customWidth="1"/>
    <col min="15883" max="15883" width="10.453125" style="2" bestFit="1" customWidth="1"/>
    <col min="15884" max="15884" width="8.81640625" style="2"/>
    <col min="15885" max="15886" width="12.453125" style="2" bestFit="1" customWidth="1"/>
    <col min="15887" max="15887" width="14" style="2" bestFit="1" customWidth="1"/>
    <col min="15888" max="16120" width="8.81640625" style="2"/>
    <col min="16121" max="16121" width="3.81640625" style="2" customWidth="1"/>
    <col min="16122" max="16122" width="8.81640625" style="2"/>
    <col min="16123" max="16123" width="14.453125" style="2" customWidth="1"/>
    <col min="16124" max="16124" width="38.7265625" style="2" customWidth="1"/>
    <col min="16125" max="16129" width="14" style="2" bestFit="1" customWidth="1"/>
    <col min="16130" max="16130" width="10.453125" style="2" bestFit="1" customWidth="1"/>
    <col min="16131" max="16131" width="8.81640625" style="2"/>
    <col min="16132" max="16132" width="11.26953125" style="2" bestFit="1" customWidth="1"/>
    <col min="16133" max="16133" width="5.453125" style="2" bestFit="1" customWidth="1"/>
    <col min="16134" max="16137" width="5" style="2" bestFit="1" customWidth="1"/>
    <col min="16138" max="16138" width="7.453125" style="2" bestFit="1" customWidth="1"/>
    <col min="16139" max="16139" width="10.453125" style="2" bestFit="1" customWidth="1"/>
    <col min="16140" max="16140" width="8.81640625" style="2"/>
    <col min="16141" max="16142" width="12.453125" style="2" bestFit="1" customWidth="1"/>
    <col min="16143" max="16143" width="14" style="2" bestFit="1" customWidth="1"/>
    <col min="16144" max="16384" width="8.81640625" style="2"/>
  </cols>
  <sheetData>
    <row r="1" spans="1:25">
      <c r="E1" s="34" t="s">
        <v>272</v>
      </c>
      <c r="F1" s="20"/>
      <c r="G1" s="20"/>
      <c r="H1" s="20"/>
      <c r="I1" s="20"/>
      <c r="J1" s="20"/>
    </row>
    <row r="2" spans="1:25">
      <c r="A2" s="1"/>
      <c r="E2" s="34" t="s">
        <v>273</v>
      </c>
      <c r="G2" s="290">
        <v>44927</v>
      </c>
      <c r="H2" s="291" t="s">
        <v>274</v>
      </c>
      <c r="I2" s="290">
        <v>46752</v>
      </c>
      <c r="J2" s="20"/>
    </row>
    <row r="3" spans="1:25" ht="6.5" customHeight="1" thickBot="1">
      <c r="A3" s="1"/>
      <c r="G3" s="289"/>
      <c r="H3" s="81"/>
      <c r="I3" s="289"/>
    </row>
    <row r="4" spans="1:25" ht="20.5" customHeight="1" thickBot="1">
      <c r="E4" s="402" t="s">
        <v>193</v>
      </c>
      <c r="F4" s="403"/>
      <c r="G4" s="403"/>
      <c r="H4" s="403"/>
      <c r="I4" s="403"/>
      <c r="J4" s="404"/>
      <c r="U4" s="81"/>
      <c r="V4" s="81"/>
    </row>
    <row r="5" spans="1:25" ht="15" thickBot="1">
      <c r="E5" s="4" t="s">
        <v>41</v>
      </c>
      <c r="F5" s="5" t="s">
        <v>40</v>
      </c>
      <c r="G5" s="5" t="s">
        <v>39</v>
      </c>
      <c r="H5" s="5" t="s">
        <v>38</v>
      </c>
      <c r="I5" s="5" t="s">
        <v>37</v>
      </c>
      <c r="J5" s="6" t="s">
        <v>49</v>
      </c>
      <c r="L5" s="302" t="s">
        <v>163</v>
      </c>
      <c r="M5" s="92" t="s">
        <v>118</v>
      </c>
      <c r="N5" s="7" t="s">
        <v>36</v>
      </c>
      <c r="O5" s="7" t="s">
        <v>35</v>
      </c>
      <c r="P5" s="7" t="s">
        <v>34</v>
      </c>
      <c r="Q5" s="7" t="s">
        <v>33</v>
      </c>
      <c r="R5" s="7" t="s">
        <v>32</v>
      </c>
      <c r="S5" s="8" t="s">
        <v>31</v>
      </c>
      <c r="U5" s="81" t="s">
        <v>75</v>
      </c>
      <c r="V5" s="81"/>
    </row>
    <row r="6" spans="1:25">
      <c r="A6" s="9" t="s">
        <v>30</v>
      </c>
      <c r="B6" s="10" t="s">
        <v>42</v>
      </c>
      <c r="C6" s="10"/>
      <c r="D6" s="10"/>
      <c r="E6" s="11"/>
      <c r="F6" s="11"/>
      <c r="G6" s="12"/>
      <c r="H6" s="12"/>
      <c r="I6" s="12"/>
      <c r="J6" s="13"/>
      <c r="L6" s="87" t="s">
        <v>275</v>
      </c>
      <c r="M6" s="299" t="s">
        <v>276</v>
      </c>
      <c r="N6" s="15"/>
      <c r="O6" s="15"/>
      <c r="P6" s="15"/>
      <c r="Q6" s="15"/>
      <c r="R6" s="15"/>
      <c r="S6" s="16"/>
    </row>
    <row r="7" spans="1:25">
      <c r="A7" s="17"/>
      <c r="B7" s="298" t="s">
        <v>326</v>
      </c>
      <c r="C7" s="184" t="s">
        <v>190</v>
      </c>
      <c r="D7" s="26" t="s">
        <v>165</v>
      </c>
      <c r="E7" s="38">
        <f>$M7*N7</f>
        <v>21807.184618333333</v>
      </c>
      <c r="F7" s="38">
        <f>$M7*O7*$S$7</f>
        <v>45795.0876985</v>
      </c>
      <c r="G7" s="38">
        <f>$M7*P7*$S$7^2</f>
        <v>48084.842083424999</v>
      </c>
      <c r="H7" s="38">
        <f>$M7*Q7*$S$7^3</f>
        <v>50489.084187596251</v>
      </c>
      <c r="I7" s="38">
        <f>$M7*R7*$S$7^4</f>
        <v>53013.538396976059</v>
      </c>
      <c r="J7" s="19">
        <f t="shared" ref="J7:J36" si="0">SUM(E7:I7)</f>
        <v>219189.73698483064</v>
      </c>
      <c r="L7" s="90">
        <v>261686.21541999999</v>
      </c>
      <c r="M7" s="94">
        <f>+L7/12</f>
        <v>21807.184618333333</v>
      </c>
      <c r="N7" s="75">
        <v>1</v>
      </c>
      <c r="O7" s="75">
        <v>2</v>
      </c>
      <c r="P7" s="75">
        <v>2</v>
      </c>
      <c r="Q7" s="75">
        <v>2</v>
      </c>
      <c r="R7" s="75">
        <v>2</v>
      </c>
      <c r="S7" s="325">
        <v>1.05</v>
      </c>
      <c r="U7" s="153">
        <f>+E7/$L$7</f>
        <v>8.3333333333333329E-2</v>
      </c>
      <c r="V7" s="153">
        <f t="shared" ref="V7:Y7" si="1">+F7/$L$7</f>
        <v>0.17499999999999999</v>
      </c>
      <c r="W7" s="153">
        <f t="shared" si="1"/>
        <v>0.18375</v>
      </c>
      <c r="X7" s="153">
        <f t="shared" si="1"/>
        <v>0.19293750000000001</v>
      </c>
      <c r="Y7" s="153">
        <f t="shared" si="1"/>
        <v>0.20258437499999998</v>
      </c>
    </row>
    <row r="8" spans="1:25">
      <c r="A8" s="17"/>
      <c r="B8" s="297" t="s">
        <v>192</v>
      </c>
      <c r="C8" s="291" t="s">
        <v>191</v>
      </c>
      <c r="D8" s="20" t="s">
        <v>79</v>
      </c>
      <c r="E8" s="38">
        <f t="shared" ref="E8:E11" si="2">$M8*N8</f>
        <v>0</v>
      </c>
      <c r="F8" s="38">
        <f t="shared" ref="F8:F11" si="3">$M8*O8*$S$7</f>
        <v>0</v>
      </c>
      <c r="G8" s="38">
        <f t="shared" ref="G8:G11" si="4">$M8*P8*$S$7^2</f>
        <v>0</v>
      </c>
      <c r="H8" s="38">
        <f t="shared" ref="H8:H11" si="5">$M8*Q8*$S$7^3</f>
        <v>0</v>
      </c>
      <c r="I8" s="38">
        <f t="shared" ref="I8:I11" si="6">$M8*R8*$S$7^4</f>
        <v>0</v>
      </c>
      <c r="J8" s="19">
        <f t="shared" si="0"/>
        <v>0</v>
      </c>
      <c r="L8" s="90"/>
      <c r="M8" s="94">
        <v>0</v>
      </c>
      <c r="N8" s="75">
        <v>0</v>
      </c>
      <c r="O8" s="75">
        <v>0</v>
      </c>
      <c r="P8" s="75">
        <v>1</v>
      </c>
      <c r="Q8" s="75">
        <v>3</v>
      </c>
      <c r="R8" s="75">
        <v>0</v>
      </c>
      <c r="S8" s="16"/>
    </row>
    <row r="9" spans="1:25" hidden="1">
      <c r="A9" s="17"/>
      <c r="B9" s="297" t="s">
        <v>192</v>
      </c>
      <c r="C9" s="291" t="s">
        <v>191</v>
      </c>
      <c r="D9" s="20" t="s">
        <v>79</v>
      </c>
      <c r="E9" s="38">
        <f t="shared" si="2"/>
        <v>0</v>
      </c>
      <c r="F9" s="38">
        <f t="shared" si="3"/>
        <v>0</v>
      </c>
      <c r="G9" s="38">
        <f t="shared" si="4"/>
        <v>0</v>
      </c>
      <c r="H9" s="38">
        <f t="shared" si="5"/>
        <v>0</v>
      </c>
      <c r="I9" s="38">
        <f t="shared" si="6"/>
        <v>0</v>
      </c>
      <c r="J9" s="19">
        <f t="shared" si="0"/>
        <v>0</v>
      </c>
      <c r="L9" s="90"/>
      <c r="M9" s="94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16"/>
    </row>
    <row r="10" spans="1:25" hidden="1">
      <c r="A10" s="17"/>
      <c r="B10" s="297" t="s">
        <v>192</v>
      </c>
      <c r="C10" s="291" t="s">
        <v>191</v>
      </c>
      <c r="D10" s="20" t="s">
        <v>79</v>
      </c>
      <c r="E10" s="38">
        <f t="shared" si="2"/>
        <v>0</v>
      </c>
      <c r="F10" s="38">
        <f t="shared" si="3"/>
        <v>0</v>
      </c>
      <c r="G10" s="38">
        <f t="shared" si="4"/>
        <v>0</v>
      </c>
      <c r="H10" s="38">
        <f t="shared" si="5"/>
        <v>0</v>
      </c>
      <c r="I10" s="38">
        <f t="shared" si="6"/>
        <v>0</v>
      </c>
      <c r="J10" s="19">
        <f t="shared" si="0"/>
        <v>0</v>
      </c>
      <c r="L10" s="90"/>
      <c r="M10" s="99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16"/>
    </row>
    <row r="11" spans="1:25" hidden="1">
      <c r="A11" s="17"/>
      <c r="B11" s="297" t="s">
        <v>192</v>
      </c>
      <c r="C11" s="291" t="s">
        <v>281</v>
      </c>
      <c r="D11" s="20" t="s">
        <v>79</v>
      </c>
      <c r="E11" s="38">
        <f t="shared" si="2"/>
        <v>0</v>
      </c>
      <c r="F11" s="38">
        <f t="shared" si="3"/>
        <v>0</v>
      </c>
      <c r="G11" s="38">
        <f t="shared" si="4"/>
        <v>0</v>
      </c>
      <c r="H11" s="38">
        <f t="shared" si="5"/>
        <v>0</v>
      </c>
      <c r="I11" s="38">
        <f t="shared" si="6"/>
        <v>0</v>
      </c>
      <c r="J11" s="19">
        <f t="shared" si="0"/>
        <v>0</v>
      </c>
      <c r="L11" s="90"/>
      <c r="M11" s="94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16"/>
    </row>
    <row r="12" spans="1:25">
      <c r="A12" s="17"/>
      <c r="B12" s="21" t="s">
        <v>164</v>
      </c>
      <c r="C12" s="18"/>
      <c r="D12" s="18"/>
      <c r="E12" s="22">
        <f>SUM(E7:E11)</f>
        <v>21807.184618333333</v>
      </c>
      <c r="F12" s="22">
        <f t="shared" ref="F12:I12" si="7">SUM(F7:F11)</f>
        <v>45795.0876985</v>
      </c>
      <c r="G12" s="22">
        <f t="shared" si="7"/>
        <v>48084.842083424999</v>
      </c>
      <c r="H12" s="22">
        <f t="shared" si="7"/>
        <v>50489.084187596251</v>
      </c>
      <c r="I12" s="22">
        <f t="shared" si="7"/>
        <v>53013.538396976059</v>
      </c>
      <c r="J12" s="19">
        <f t="shared" si="0"/>
        <v>219189.73698483064</v>
      </c>
      <c r="L12" s="14"/>
      <c r="M12" s="88"/>
      <c r="N12" s="76"/>
      <c r="O12" s="76"/>
      <c r="P12" s="76"/>
      <c r="Q12" s="76"/>
      <c r="R12" s="76"/>
      <c r="S12" s="16"/>
    </row>
    <row r="13" spans="1:25">
      <c r="A13" s="23" t="s">
        <v>29</v>
      </c>
      <c r="B13" s="24" t="s">
        <v>83</v>
      </c>
      <c r="C13" s="24"/>
      <c r="D13" s="24"/>
      <c r="E13" s="25"/>
      <c r="F13" s="25"/>
      <c r="G13" s="25"/>
      <c r="H13" s="25"/>
      <c r="I13" s="25"/>
      <c r="J13" s="19">
        <f t="shared" si="0"/>
        <v>0</v>
      </c>
      <c r="L13" s="14"/>
      <c r="M13" s="101"/>
      <c r="N13" s="76"/>
      <c r="O13" s="76"/>
      <c r="P13" s="76"/>
      <c r="Q13" s="76"/>
      <c r="R13" s="76"/>
      <c r="S13" s="16"/>
    </row>
    <row r="14" spans="1:25">
      <c r="A14" s="17"/>
      <c r="B14" s="21" t="s">
        <v>51</v>
      </c>
      <c r="C14" s="26"/>
      <c r="D14" s="26"/>
      <c r="E14" s="38">
        <f t="shared" ref="E14:E21" si="8">$M14*N14</f>
        <v>0</v>
      </c>
      <c r="F14" s="38">
        <f t="shared" ref="F14:F21" si="9">$M14*O14*$S$7</f>
        <v>0</v>
      </c>
      <c r="G14" s="38">
        <f t="shared" ref="G14:G21" si="10">$M14*P14*$S$7^2</f>
        <v>0</v>
      </c>
      <c r="H14" s="38">
        <f t="shared" ref="H14:H21" si="11">$M14*Q14*$S$7^3</f>
        <v>0</v>
      </c>
      <c r="I14" s="38">
        <f t="shared" ref="I14:I21" si="12">$M14*R14*$S$7^4</f>
        <v>0</v>
      </c>
      <c r="J14" s="19">
        <f t="shared" si="0"/>
        <v>0</v>
      </c>
      <c r="L14" s="91">
        <f>+M14*12</f>
        <v>61200</v>
      </c>
      <c r="M14" s="100">
        <v>5100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16"/>
    </row>
    <row r="15" spans="1:25" ht="15.75" customHeight="1">
      <c r="A15" s="17"/>
      <c r="B15" s="21" t="s">
        <v>50</v>
      </c>
      <c r="C15" s="18"/>
      <c r="D15" s="18"/>
      <c r="E15" s="38">
        <f t="shared" si="8"/>
        <v>0</v>
      </c>
      <c r="F15" s="38">
        <f t="shared" si="9"/>
        <v>0</v>
      </c>
      <c r="G15" s="38">
        <f t="shared" si="10"/>
        <v>0</v>
      </c>
      <c r="H15" s="38">
        <f t="shared" si="11"/>
        <v>0</v>
      </c>
      <c r="I15" s="38">
        <f t="shared" si="12"/>
        <v>0</v>
      </c>
      <c r="J15" s="19">
        <f t="shared" si="0"/>
        <v>0</v>
      </c>
      <c r="L15" s="91">
        <f>+M15*12</f>
        <v>60000</v>
      </c>
      <c r="M15" s="95">
        <v>5000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16"/>
    </row>
    <row r="16" spans="1:25">
      <c r="A16" s="17"/>
      <c r="B16" s="21" t="s">
        <v>277</v>
      </c>
      <c r="C16" s="18"/>
      <c r="D16" s="18"/>
      <c r="E16" s="38">
        <f t="shared" si="8"/>
        <v>40382</v>
      </c>
      <c r="F16" s="38">
        <f t="shared" si="9"/>
        <v>42401.1</v>
      </c>
      <c r="G16" s="38">
        <f t="shared" si="10"/>
        <v>44521.154999999999</v>
      </c>
      <c r="H16" s="38">
        <f t="shared" si="11"/>
        <v>46747.212750000006</v>
      </c>
      <c r="I16" s="38">
        <f t="shared" si="12"/>
        <v>49084.573387500001</v>
      </c>
      <c r="J16" s="19">
        <f t="shared" si="0"/>
        <v>223136.04113750003</v>
      </c>
      <c r="L16" s="91">
        <v>40382</v>
      </c>
      <c r="M16" s="95">
        <f>+L16/12</f>
        <v>3365.1666666666665</v>
      </c>
      <c r="N16" s="75">
        <v>12</v>
      </c>
      <c r="O16" s="75">
        <v>12</v>
      </c>
      <c r="P16" s="75">
        <v>12</v>
      </c>
      <c r="Q16" s="75">
        <v>12</v>
      </c>
      <c r="R16" s="75">
        <v>12</v>
      </c>
      <c r="S16" s="16"/>
      <c r="U16" s="28" t="s">
        <v>178</v>
      </c>
    </row>
    <row r="17" spans="1:21">
      <c r="A17" s="17"/>
      <c r="B17" s="21" t="s">
        <v>278</v>
      </c>
      <c r="C17" s="18"/>
      <c r="D17" s="18"/>
      <c r="E17" s="38">
        <f t="shared" si="8"/>
        <v>41253</v>
      </c>
      <c r="F17" s="38">
        <f t="shared" si="9"/>
        <v>43315.65</v>
      </c>
      <c r="G17" s="38">
        <f t="shared" si="10"/>
        <v>45481.432500000003</v>
      </c>
      <c r="H17" s="38">
        <f t="shared" si="11"/>
        <v>47755.504125000007</v>
      </c>
      <c r="I17" s="38">
        <f t="shared" si="12"/>
        <v>50143.27933125</v>
      </c>
      <c r="J17" s="19">
        <f t="shared" si="0"/>
        <v>227948.86595625</v>
      </c>
      <c r="L17" s="91">
        <v>41253</v>
      </c>
      <c r="M17" s="95">
        <f t="shared" ref="M17:M18" si="13">+L17/12</f>
        <v>3437.75</v>
      </c>
      <c r="N17" s="75">
        <v>12</v>
      </c>
      <c r="O17" s="75">
        <v>12</v>
      </c>
      <c r="P17" s="75">
        <v>12</v>
      </c>
      <c r="Q17" s="75">
        <v>12</v>
      </c>
      <c r="R17" s="75">
        <v>12</v>
      </c>
      <c r="S17" s="16"/>
      <c r="U17" s="28" t="s">
        <v>96</v>
      </c>
    </row>
    <row r="18" spans="1:21">
      <c r="A18" s="17"/>
      <c r="B18" s="21" t="s">
        <v>279</v>
      </c>
      <c r="C18" s="18"/>
      <c r="D18" s="18"/>
      <c r="E18" s="38">
        <f t="shared" si="8"/>
        <v>42124</v>
      </c>
      <c r="F18" s="38">
        <f t="shared" si="9"/>
        <v>44230.200000000004</v>
      </c>
      <c r="G18" s="38">
        <f t="shared" si="10"/>
        <v>46441.71</v>
      </c>
      <c r="H18" s="38">
        <f t="shared" si="11"/>
        <v>48763.795500000007</v>
      </c>
      <c r="I18" s="38">
        <f t="shared" si="12"/>
        <v>51201.985274999999</v>
      </c>
      <c r="J18" s="19">
        <f t="shared" si="0"/>
        <v>232761.69077500002</v>
      </c>
      <c r="L18" s="91">
        <v>42124</v>
      </c>
      <c r="M18" s="95">
        <f t="shared" si="13"/>
        <v>3510.3333333333335</v>
      </c>
      <c r="N18" s="75">
        <v>12</v>
      </c>
      <c r="O18" s="75">
        <v>12</v>
      </c>
      <c r="P18" s="75">
        <v>12</v>
      </c>
      <c r="Q18" s="75">
        <v>12</v>
      </c>
      <c r="R18" s="75">
        <v>12</v>
      </c>
      <c r="S18" s="16"/>
      <c r="U18" s="28" t="s">
        <v>179</v>
      </c>
    </row>
    <row r="19" spans="1:21">
      <c r="A19" s="17"/>
      <c r="B19" s="21" t="s">
        <v>28</v>
      </c>
      <c r="C19" s="18"/>
      <c r="D19" s="18"/>
      <c r="E19" s="38">
        <f t="shared" si="8"/>
        <v>9270</v>
      </c>
      <c r="F19" s="38">
        <f t="shared" si="9"/>
        <v>9733.5</v>
      </c>
      <c r="G19" s="38">
        <f t="shared" si="10"/>
        <v>10220.175000000001</v>
      </c>
      <c r="H19" s="38">
        <f t="shared" si="11"/>
        <v>10731.183750000002</v>
      </c>
      <c r="I19" s="38">
        <f t="shared" si="12"/>
        <v>11267.742937499999</v>
      </c>
      <c r="J19" s="19">
        <f t="shared" si="0"/>
        <v>51222.601687500006</v>
      </c>
      <c r="L19" s="91"/>
      <c r="M19" s="98">
        <v>15.45</v>
      </c>
      <c r="N19" s="75">
        <f>10*4*9+20*4*3</f>
        <v>600</v>
      </c>
      <c r="O19" s="75">
        <f t="shared" ref="O19:R19" si="14">10*4*9+20*4*3</f>
        <v>600</v>
      </c>
      <c r="P19" s="75">
        <f t="shared" si="14"/>
        <v>600</v>
      </c>
      <c r="Q19" s="75">
        <f t="shared" si="14"/>
        <v>600</v>
      </c>
      <c r="R19" s="75">
        <f t="shared" si="14"/>
        <v>600</v>
      </c>
      <c r="S19" s="16"/>
      <c r="U19" s="97" t="s">
        <v>78</v>
      </c>
    </row>
    <row r="20" spans="1:21">
      <c r="A20" s="17"/>
      <c r="B20" s="21" t="s">
        <v>27</v>
      </c>
      <c r="C20" s="18"/>
      <c r="D20" s="18"/>
      <c r="E20" s="38">
        <f t="shared" si="8"/>
        <v>0</v>
      </c>
      <c r="F20" s="38">
        <f t="shared" si="9"/>
        <v>0</v>
      </c>
      <c r="G20" s="38">
        <f t="shared" si="10"/>
        <v>0</v>
      </c>
      <c r="H20" s="38">
        <f t="shared" si="11"/>
        <v>0</v>
      </c>
      <c r="I20" s="38">
        <f t="shared" si="12"/>
        <v>0</v>
      </c>
      <c r="J20" s="19">
        <f t="shared" si="0"/>
        <v>0</v>
      </c>
      <c r="L20" s="91">
        <f>+M20*12</f>
        <v>36000</v>
      </c>
      <c r="M20" s="95">
        <v>3000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16"/>
    </row>
    <row r="21" spans="1:21">
      <c r="A21" s="17"/>
      <c r="B21" s="21" t="s">
        <v>26</v>
      </c>
      <c r="C21" s="18"/>
      <c r="D21" s="18"/>
      <c r="E21" s="38">
        <f t="shared" si="8"/>
        <v>0</v>
      </c>
      <c r="F21" s="38">
        <f t="shared" si="9"/>
        <v>0</v>
      </c>
      <c r="G21" s="38">
        <f t="shared" si="10"/>
        <v>0</v>
      </c>
      <c r="H21" s="38">
        <f t="shared" si="11"/>
        <v>0</v>
      </c>
      <c r="I21" s="38">
        <f t="shared" si="12"/>
        <v>0</v>
      </c>
      <c r="J21" s="19">
        <f t="shared" si="0"/>
        <v>0</v>
      </c>
      <c r="L21" s="27"/>
      <c r="M21" s="98">
        <v>10</v>
      </c>
      <c r="N21" s="75"/>
      <c r="O21" s="75"/>
      <c r="P21" s="75"/>
      <c r="Q21" s="75"/>
      <c r="R21" s="75"/>
      <c r="S21" s="16"/>
    </row>
    <row r="22" spans="1:21" s="34" customFormat="1">
      <c r="A22" s="30"/>
      <c r="B22" s="31" t="s">
        <v>25</v>
      </c>
      <c r="C22" s="31"/>
      <c r="D22" s="31"/>
      <c r="E22" s="32">
        <f>E12+SUM(E14:E21)</f>
        <v>154836.18461833333</v>
      </c>
      <c r="F22" s="32">
        <f>F12+SUM(F14:F21)</f>
        <v>185475.5376985</v>
      </c>
      <c r="G22" s="32">
        <f>G12+SUM(G14:G21)</f>
        <v>194749.31458342497</v>
      </c>
      <c r="H22" s="32">
        <f>H12+SUM(H14:H21)</f>
        <v>204486.78031259627</v>
      </c>
      <c r="I22" s="32">
        <f>I12+SUM(I14:I21)</f>
        <v>214711.11932822608</v>
      </c>
      <c r="J22" s="33">
        <f t="shared" si="0"/>
        <v>954258.93654108059</v>
      </c>
      <c r="L22" s="35"/>
      <c r="M22" s="89"/>
      <c r="N22" s="52"/>
      <c r="O22" s="52"/>
      <c r="P22" s="52"/>
      <c r="Q22" s="52"/>
      <c r="R22" s="52"/>
      <c r="S22" s="53"/>
    </row>
    <row r="23" spans="1:21">
      <c r="A23" s="23" t="s">
        <v>24</v>
      </c>
      <c r="B23" s="18" t="s">
        <v>44</v>
      </c>
      <c r="C23" s="18"/>
      <c r="D23" s="18"/>
      <c r="E23" s="29"/>
      <c r="F23" s="29"/>
      <c r="G23" s="29"/>
      <c r="H23" s="29"/>
      <c r="I23" s="29"/>
      <c r="J23" s="19"/>
      <c r="L23" s="14"/>
      <c r="M23" s="88"/>
      <c r="N23" s="15"/>
      <c r="O23" s="15"/>
      <c r="P23" s="15"/>
      <c r="Q23" s="15"/>
      <c r="R23" s="15"/>
      <c r="S23" s="16"/>
    </row>
    <row r="24" spans="1:21">
      <c r="A24" s="17"/>
      <c r="B24" s="21" t="s">
        <v>302</v>
      </c>
      <c r="C24" s="18"/>
      <c r="D24" s="18"/>
      <c r="E24" s="22">
        <f>ROUND(($S26*(E12)),0)</f>
        <v>1657</v>
      </c>
      <c r="F24" s="22">
        <f>ROUND(($S26*(F12)),0)</f>
        <v>3480</v>
      </c>
      <c r="G24" s="22">
        <f>ROUND(($S26*(G12)),0)</f>
        <v>3654</v>
      </c>
      <c r="H24" s="22">
        <f>ROUND(($S26*(H12)),0)</f>
        <v>3837</v>
      </c>
      <c r="I24" s="22">
        <f>ROUND(($S26*(I12)),0)</f>
        <v>4029</v>
      </c>
      <c r="J24" s="19">
        <f t="shared" si="0"/>
        <v>16657</v>
      </c>
      <c r="L24" s="14"/>
      <c r="M24" s="88"/>
      <c r="N24" s="15"/>
      <c r="O24" s="15"/>
      <c r="P24" s="15"/>
      <c r="Q24" s="15"/>
      <c r="R24" s="15"/>
      <c r="S24" s="16"/>
    </row>
    <row r="25" spans="1:21">
      <c r="A25" s="17"/>
      <c r="B25" s="21" t="s">
        <v>166</v>
      </c>
      <c r="C25" s="18"/>
      <c r="D25" s="18"/>
      <c r="E25" s="22">
        <f>+(E14+E15)*$S$25</f>
        <v>0</v>
      </c>
      <c r="F25" s="22">
        <f>+(F14+F15)*$S$25</f>
        <v>0</v>
      </c>
      <c r="G25" s="22">
        <f>+(G14+G15)*$S$25</f>
        <v>0</v>
      </c>
      <c r="H25" s="22">
        <f>+(H14+H15)*$S$25</f>
        <v>0</v>
      </c>
      <c r="I25" s="22">
        <f>+(I14+I15)*$S$25</f>
        <v>0</v>
      </c>
      <c r="J25" s="19">
        <f t="shared" si="0"/>
        <v>0</v>
      </c>
      <c r="L25" s="14"/>
      <c r="M25" s="88"/>
      <c r="N25" s="15"/>
      <c r="O25" s="15"/>
      <c r="P25" s="15"/>
      <c r="Q25" s="15"/>
      <c r="R25" s="15"/>
      <c r="S25" s="326">
        <v>0.29899999999999999</v>
      </c>
      <c r="U25" s="2" t="s">
        <v>111</v>
      </c>
    </row>
    <row r="26" spans="1:21">
      <c r="A26" s="17"/>
      <c r="B26" s="21" t="s">
        <v>52</v>
      </c>
      <c r="C26" s="18"/>
      <c r="D26" s="18"/>
      <c r="E26" s="22">
        <f>ROUND((E16+E17+E18)*$S27,0)</f>
        <v>33415</v>
      </c>
      <c r="F26" s="22">
        <f>ROUND((F16+F17+F18)*$S27,0)</f>
        <v>35086</v>
      </c>
      <c r="G26" s="22">
        <f>ROUND((G16+G17+G18)*$S27,0)</f>
        <v>36840</v>
      </c>
      <c r="H26" s="22">
        <f>ROUND((H16+H17+H18)*$S27,0)</f>
        <v>38682</v>
      </c>
      <c r="I26" s="22">
        <f>ROUND((I16+I17+I18)*$S27,0)</f>
        <v>40616</v>
      </c>
      <c r="J26" s="19">
        <f t="shared" si="0"/>
        <v>184639</v>
      </c>
      <c r="L26" s="14"/>
      <c r="M26" s="88"/>
      <c r="N26" s="15"/>
      <c r="O26" s="15"/>
      <c r="P26" s="15"/>
      <c r="Q26" s="15"/>
      <c r="R26" s="15"/>
      <c r="S26" s="326">
        <v>7.5999999999999998E-2</v>
      </c>
      <c r="U26" s="2" t="s">
        <v>80</v>
      </c>
    </row>
    <row r="27" spans="1:21">
      <c r="A27" s="17"/>
      <c r="B27" s="21" t="s">
        <v>82</v>
      </c>
      <c r="C27" s="18"/>
      <c r="D27" s="18"/>
      <c r="E27" s="22">
        <f>ROUND(E19*$S26,0)</f>
        <v>705</v>
      </c>
      <c r="F27" s="22">
        <f>ROUND(F19*$S26,0)</f>
        <v>740</v>
      </c>
      <c r="G27" s="22">
        <f>ROUND(G19*$S26,0)</f>
        <v>777</v>
      </c>
      <c r="H27" s="22">
        <f>ROUND(H19*$S26,0)</f>
        <v>816</v>
      </c>
      <c r="I27" s="22">
        <f>ROUND(I19*$S26,0)</f>
        <v>856</v>
      </c>
      <c r="J27" s="19">
        <f t="shared" si="0"/>
        <v>3894</v>
      </c>
      <c r="L27" s="14"/>
      <c r="M27" s="88"/>
      <c r="N27" s="15"/>
      <c r="O27" s="15"/>
      <c r="P27" s="15"/>
      <c r="Q27" s="15"/>
      <c r="R27" s="15"/>
      <c r="S27" s="326">
        <v>0.27</v>
      </c>
      <c r="U27" s="2" t="s">
        <v>81</v>
      </c>
    </row>
    <row r="28" spans="1:21">
      <c r="A28" s="17"/>
      <c r="B28" s="21" t="s">
        <v>109</v>
      </c>
      <c r="C28" s="18"/>
      <c r="D28" s="18"/>
      <c r="E28" s="22">
        <f>+E20*$S$28</f>
        <v>0</v>
      </c>
      <c r="F28" s="22">
        <f>+F20*$S$28</f>
        <v>0</v>
      </c>
      <c r="G28" s="22">
        <f>+G20*$S$28</f>
        <v>0</v>
      </c>
      <c r="H28" s="22">
        <f>+H20*$S$28</f>
        <v>0</v>
      </c>
      <c r="I28" s="22">
        <f>+I20*$S$28</f>
        <v>0</v>
      </c>
      <c r="J28" s="19">
        <f t="shared" si="0"/>
        <v>0</v>
      </c>
      <c r="L28" s="14"/>
      <c r="M28" s="88"/>
      <c r="N28" s="15"/>
      <c r="O28" s="15"/>
      <c r="P28" s="15"/>
      <c r="Q28" s="15"/>
      <c r="R28" s="15"/>
      <c r="S28" s="326">
        <v>0.35599999999999998</v>
      </c>
      <c r="U28" s="2" t="s">
        <v>110</v>
      </c>
    </row>
    <row r="29" spans="1:21">
      <c r="A29" s="17"/>
      <c r="B29" s="18" t="s">
        <v>46</v>
      </c>
      <c r="C29" s="18"/>
      <c r="D29" s="18"/>
      <c r="E29" s="22">
        <f>SUM(E24:E28)</f>
        <v>35777</v>
      </c>
      <c r="F29" s="22">
        <f t="shared" ref="F29:I29" si="15">SUM(F24:F28)</f>
        <v>39306</v>
      </c>
      <c r="G29" s="22">
        <f t="shared" si="15"/>
        <v>41271</v>
      </c>
      <c r="H29" s="22">
        <f t="shared" si="15"/>
        <v>43335</v>
      </c>
      <c r="I29" s="22">
        <f t="shared" si="15"/>
        <v>45501</v>
      </c>
      <c r="J29" s="19">
        <f t="shared" si="0"/>
        <v>205190</v>
      </c>
      <c r="L29" s="14"/>
      <c r="M29" s="88"/>
      <c r="N29" s="15"/>
      <c r="O29" s="15"/>
      <c r="P29" s="15"/>
      <c r="Q29" s="15"/>
      <c r="R29" s="15"/>
      <c r="S29" s="16"/>
    </row>
    <row r="30" spans="1:21" s="34" customFormat="1">
      <c r="A30" s="30"/>
      <c r="B30" s="31" t="s">
        <v>23</v>
      </c>
      <c r="C30" s="31"/>
      <c r="D30" s="31"/>
      <c r="E30" s="32">
        <f>E29+E22</f>
        <v>190613.18461833333</v>
      </c>
      <c r="F30" s="32">
        <f>F29+F22</f>
        <v>224781.5376985</v>
      </c>
      <c r="G30" s="32">
        <f>G29+G22</f>
        <v>236020.31458342497</v>
      </c>
      <c r="H30" s="32">
        <f>H29+H22</f>
        <v>247821.78031259627</v>
      </c>
      <c r="I30" s="32">
        <f>I29+I22</f>
        <v>260212.11932822608</v>
      </c>
      <c r="J30" s="33">
        <f t="shared" si="0"/>
        <v>1159448.9365410805</v>
      </c>
      <c r="L30" s="35"/>
      <c r="M30" s="89"/>
      <c r="N30" s="52"/>
      <c r="O30" s="52"/>
      <c r="P30" s="52"/>
      <c r="Q30" s="52"/>
      <c r="R30" s="52"/>
      <c r="S30" s="16"/>
    </row>
    <row r="31" spans="1:21">
      <c r="A31" s="23" t="s">
        <v>22</v>
      </c>
      <c r="B31" s="18" t="s">
        <v>45</v>
      </c>
      <c r="C31" s="18"/>
      <c r="D31" s="18"/>
      <c r="E31" s="29"/>
      <c r="F31" s="29"/>
      <c r="G31" s="29"/>
      <c r="H31" s="29"/>
      <c r="I31" s="29"/>
      <c r="J31" s="19"/>
      <c r="L31" s="14"/>
      <c r="M31" s="88"/>
      <c r="N31" s="15"/>
      <c r="O31" s="15"/>
      <c r="P31" s="15"/>
      <c r="Q31" s="15"/>
      <c r="R31" s="15"/>
      <c r="S31" s="16"/>
    </row>
    <row r="32" spans="1:21" hidden="1">
      <c r="A32" s="17"/>
      <c r="B32" s="21"/>
      <c r="C32" s="18"/>
      <c r="D32" s="36"/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19">
        <f t="shared" si="0"/>
        <v>0</v>
      </c>
      <c r="L32" s="14"/>
      <c r="M32" s="88"/>
      <c r="N32" s="15"/>
      <c r="O32" s="15"/>
      <c r="P32" s="15"/>
      <c r="Q32" s="15"/>
      <c r="R32" s="15"/>
      <c r="S32" s="16"/>
    </row>
    <row r="33" spans="1:21" hidden="1">
      <c r="A33" s="17"/>
      <c r="B33" s="37"/>
      <c r="C33" s="24"/>
      <c r="D33" s="24"/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9">
        <f t="shared" si="0"/>
        <v>0</v>
      </c>
      <c r="L33" s="14"/>
      <c r="M33" s="88"/>
      <c r="N33" s="15"/>
      <c r="O33" s="15"/>
      <c r="P33" s="15"/>
      <c r="Q33" s="15"/>
      <c r="R33" s="15"/>
      <c r="S33" s="16"/>
    </row>
    <row r="34" spans="1:21">
      <c r="A34" s="17"/>
      <c r="B34" s="18" t="s">
        <v>21</v>
      </c>
      <c r="C34" s="18"/>
      <c r="D34" s="18"/>
      <c r="E34" s="38">
        <f>+E32+E33</f>
        <v>0</v>
      </c>
      <c r="F34" s="38">
        <f t="shared" ref="F34:I34" si="16">+F32+F33</f>
        <v>0</v>
      </c>
      <c r="G34" s="38">
        <f t="shared" si="16"/>
        <v>0</v>
      </c>
      <c r="H34" s="38">
        <f t="shared" si="16"/>
        <v>0</v>
      </c>
      <c r="I34" s="38">
        <f t="shared" si="16"/>
        <v>0</v>
      </c>
      <c r="J34" s="19">
        <f t="shared" si="0"/>
        <v>0</v>
      </c>
      <c r="L34" s="14"/>
      <c r="M34" s="88"/>
      <c r="N34" s="15"/>
      <c r="O34" s="15"/>
      <c r="P34" s="15"/>
      <c r="Q34" s="15"/>
      <c r="R34" s="15"/>
      <c r="S34" s="16"/>
    </row>
    <row r="35" spans="1:21">
      <c r="A35" s="23" t="s">
        <v>20</v>
      </c>
      <c r="B35" s="18" t="s">
        <v>19</v>
      </c>
      <c r="C35" s="18" t="s">
        <v>43</v>
      </c>
      <c r="D35" s="18"/>
      <c r="E35" s="38">
        <v>2000</v>
      </c>
      <c r="F35" s="38">
        <v>2000</v>
      </c>
      <c r="G35" s="38">
        <v>2000</v>
      </c>
      <c r="H35" s="38">
        <v>2000</v>
      </c>
      <c r="I35" s="38">
        <v>2000</v>
      </c>
      <c r="J35" s="19">
        <f t="shared" si="0"/>
        <v>10000</v>
      </c>
      <c r="L35" s="14"/>
      <c r="M35" s="88"/>
      <c r="N35" s="15"/>
      <c r="O35" s="15"/>
      <c r="P35" s="15"/>
      <c r="Q35" s="15"/>
      <c r="R35" s="15"/>
      <c r="S35" s="16"/>
    </row>
    <row r="36" spans="1:21">
      <c r="A36" s="17"/>
      <c r="B36" s="39"/>
      <c r="C36" s="18" t="s">
        <v>18</v>
      </c>
      <c r="D36" s="18"/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19">
        <f t="shared" si="0"/>
        <v>0</v>
      </c>
      <c r="L36" s="14"/>
      <c r="M36" s="88"/>
      <c r="N36" s="15"/>
      <c r="O36" s="15"/>
      <c r="P36" s="15"/>
      <c r="Q36" s="15"/>
      <c r="R36" s="15"/>
      <c r="S36" s="16"/>
      <c r="U36" s="127"/>
    </row>
    <row r="37" spans="1:21">
      <c r="A37" s="17"/>
      <c r="B37" s="24" t="s">
        <v>47</v>
      </c>
      <c r="C37" s="24"/>
      <c r="D37" s="24"/>
      <c r="E37" s="22">
        <f>SUM(E35:E36)</f>
        <v>2000</v>
      </c>
      <c r="F37" s="22">
        <f>SUM(F35:F36)</f>
        <v>2000</v>
      </c>
      <c r="G37" s="22">
        <f>SUM(G35:G36)</f>
        <v>2000</v>
      </c>
      <c r="H37" s="22">
        <f>SUM(H35:H36)</f>
        <v>2000</v>
      </c>
      <c r="I37" s="22">
        <f>SUM(I35:I36)</f>
        <v>2000</v>
      </c>
      <c r="J37" s="19">
        <f t="shared" ref="J37:J44" si="17">SUM(E37:I37)</f>
        <v>10000</v>
      </c>
      <c r="L37" s="14"/>
      <c r="M37" s="88"/>
      <c r="N37" s="15"/>
      <c r="O37" s="15"/>
      <c r="P37" s="15"/>
      <c r="Q37" s="15"/>
      <c r="R37" s="15"/>
      <c r="S37" s="16"/>
    </row>
    <row r="38" spans="1:21">
      <c r="A38" s="40" t="s">
        <v>17</v>
      </c>
      <c r="B38" s="39" t="s">
        <v>16</v>
      </c>
      <c r="C38" s="41"/>
      <c r="D38" s="41"/>
      <c r="E38" s="42"/>
      <c r="F38" s="42"/>
      <c r="G38" s="42"/>
      <c r="H38" s="42"/>
      <c r="I38" s="42"/>
      <c r="J38" s="19">
        <f t="shared" si="17"/>
        <v>0</v>
      </c>
      <c r="L38" s="14"/>
      <c r="M38" s="88"/>
      <c r="N38" s="15"/>
      <c r="O38" s="15"/>
      <c r="P38" s="15"/>
      <c r="Q38" s="15"/>
      <c r="R38" s="15"/>
      <c r="S38" s="16"/>
    </row>
    <row r="39" spans="1:21" hidden="1">
      <c r="A39" s="17"/>
      <c r="B39" s="43" t="s">
        <v>282</v>
      </c>
      <c r="C39" s="44">
        <v>0</v>
      </c>
      <c r="D39" s="24"/>
      <c r="E39" s="38"/>
      <c r="F39" s="38">
        <v>0</v>
      </c>
      <c r="G39" s="38">
        <v>0</v>
      </c>
      <c r="H39" s="38">
        <v>0</v>
      </c>
      <c r="I39" s="38">
        <v>0</v>
      </c>
      <c r="J39" s="19">
        <f t="shared" si="17"/>
        <v>0</v>
      </c>
      <c r="L39" s="14"/>
      <c r="M39" s="88"/>
      <c r="N39" s="15"/>
      <c r="O39" s="15"/>
      <c r="P39" s="15"/>
      <c r="Q39" s="15"/>
      <c r="R39" s="15"/>
      <c r="S39" s="16"/>
    </row>
    <row r="40" spans="1:21" hidden="1">
      <c r="A40" s="17"/>
      <c r="B40" s="43" t="s">
        <v>283</v>
      </c>
      <c r="C40" s="44"/>
      <c r="D40" s="24"/>
      <c r="E40" s="38"/>
      <c r="F40" s="38"/>
      <c r="G40" s="38"/>
      <c r="H40" s="38"/>
      <c r="I40" s="38"/>
      <c r="J40" s="19"/>
      <c r="L40" s="14"/>
      <c r="M40" s="88"/>
      <c r="N40" s="15"/>
      <c r="O40" s="15"/>
      <c r="P40" s="15"/>
      <c r="Q40" s="15"/>
      <c r="R40" s="15"/>
      <c r="S40" s="16"/>
    </row>
    <row r="41" spans="1:21" hidden="1">
      <c r="A41" s="17"/>
      <c r="B41" s="43" t="s">
        <v>284</v>
      </c>
      <c r="C41" s="44">
        <v>0</v>
      </c>
      <c r="D41" s="24"/>
      <c r="E41" s="38"/>
      <c r="F41" s="38"/>
      <c r="G41" s="38"/>
      <c r="H41" s="38"/>
      <c r="I41" s="38"/>
      <c r="J41" s="19">
        <f t="shared" si="17"/>
        <v>0</v>
      </c>
      <c r="L41" s="14"/>
      <c r="M41" s="88"/>
      <c r="N41" s="15"/>
      <c r="O41" s="15"/>
      <c r="P41" s="15"/>
      <c r="Q41" s="15"/>
      <c r="R41" s="15"/>
      <c r="S41" s="16"/>
    </row>
    <row r="42" spans="1:21" hidden="1">
      <c r="A42" s="17"/>
      <c r="B42" s="45" t="s">
        <v>285</v>
      </c>
      <c r="C42" s="44">
        <v>0</v>
      </c>
      <c r="D42" s="24"/>
      <c r="E42" s="38"/>
      <c r="F42" s="38"/>
      <c r="G42" s="38"/>
      <c r="H42" s="38"/>
      <c r="I42" s="38"/>
      <c r="J42" s="19">
        <f t="shared" si="17"/>
        <v>0</v>
      </c>
      <c r="L42" s="14"/>
      <c r="M42" s="88"/>
      <c r="N42" s="15"/>
      <c r="O42" s="15"/>
      <c r="P42" s="15"/>
      <c r="Q42" s="15"/>
      <c r="R42" s="15"/>
      <c r="S42" s="16"/>
    </row>
    <row r="43" spans="1:21" hidden="1">
      <c r="A43" s="17"/>
      <c r="B43" s="24" t="s">
        <v>286</v>
      </c>
      <c r="C43" s="44">
        <v>0</v>
      </c>
      <c r="D43" s="24"/>
      <c r="E43" s="38"/>
      <c r="F43" s="38"/>
      <c r="G43" s="38"/>
      <c r="H43" s="38"/>
      <c r="I43" s="38"/>
      <c r="J43" s="19">
        <f t="shared" si="17"/>
        <v>0</v>
      </c>
      <c r="L43" s="14"/>
      <c r="M43" s="88"/>
      <c r="N43" s="15"/>
      <c r="O43" s="15"/>
      <c r="P43" s="15"/>
      <c r="Q43" s="15"/>
      <c r="R43" s="15"/>
      <c r="S43" s="16"/>
    </row>
    <row r="44" spans="1:21">
      <c r="A44" s="17"/>
      <c r="B44" s="316" t="s">
        <v>11</v>
      </c>
      <c r="C44" s="47"/>
      <c r="D44" s="39"/>
      <c r="E44" s="22">
        <f>SUM(E39:E43)</f>
        <v>0</v>
      </c>
      <c r="F44" s="22">
        <f>SUM(F39:F43)</f>
        <v>0</v>
      </c>
      <c r="G44" s="22">
        <f>SUM(G39:G43)</f>
        <v>0</v>
      </c>
      <c r="H44" s="22">
        <f>SUM(H39:H43)</f>
        <v>0</v>
      </c>
      <c r="I44" s="22">
        <f>SUM(I39:I43)</f>
        <v>0</v>
      </c>
      <c r="J44" s="19">
        <f t="shared" si="17"/>
        <v>0</v>
      </c>
      <c r="L44" s="14"/>
      <c r="M44" s="88"/>
      <c r="N44" s="15"/>
      <c r="O44" s="15"/>
      <c r="P44" s="15"/>
      <c r="Q44" s="15"/>
      <c r="R44" s="15"/>
      <c r="S44" s="16"/>
    </row>
    <row r="45" spans="1:21">
      <c r="A45" s="23" t="s">
        <v>10</v>
      </c>
      <c r="B45" s="18" t="s">
        <v>9</v>
      </c>
      <c r="C45" s="18"/>
      <c r="D45" s="18"/>
      <c r="E45" s="42"/>
      <c r="F45" s="42"/>
      <c r="G45" s="42"/>
      <c r="H45" s="42"/>
      <c r="I45" s="42"/>
      <c r="J45" s="19"/>
      <c r="L45" s="14"/>
      <c r="M45" s="88"/>
      <c r="N45" s="15"/>
      <c r="O45" s="15"/>
      <c r="P45" s="15"/>
      <c r="Q45" s="15"/>
      <c r="R45" s="15"/>
      <c r="S45" s="16"/>
    </row>
    <row r="46" spans="1:21">
      <c r="A46" s="17"/>
      <c r="B46" s="21" t="s">
        <v>8</v>
      </c>
      <c r="C46" s="18"/>
      <c r="D46" s="18"/>
      <c r="E46" s="38">
        <v>3000</v>
      </c>
      <c r="F46" s="38">
        <v>3000</v>
      </c>
      <c r="G46" s="38">
        <v>3000</v>
      </c>
      <c r="H46" s="38">
        <v>3000</v>
      </c>
      <c r="I46" s="38">
        <v>3000</v>
      </c>
      <c r="J46" s="19">
        <f t="shared" ref="J46:J60" si="18">SUM(E46:I46)</f>
        <v>15000</v>
      </c>
      <c r="L46" s="14"/>
      <c r="M46" s="88"/>
      <c r="N46" s="15"/>
      <c r="O46" s="15"/>
      <c r="P46" s="15"/>
      <c r="Q46" s="15"/>
      <c r="R46" s="15"/>
      <c r="S46" s="16"/>
    </row>
    <row r="47" spans="1:21">
      <c r="A47" s="17"/>
      <c r="B47" s="21" t="s">
        <v>280</v>
      </c>
      <c r="C47" s="18"/>
      <c r="D47" s="18"/>
      <c r="E47" s="38">
        <v>1500</v>
      </c>
      <c r="F47" s="38">
        <v>1500</v>
      </c>
      <c r="G47" s="38">
        <v>1500</v>
      </c>
      <c r="H47" s="38">
        <v>1500</v>
      </c>
      <c r="I47" s="38">
        <v>1500</v>
      </c>
      <c r="J47" s="19">
        <f t="shared" si="18"/>
        <v>7500</v>
      </c>
      <c r="L47" s="14"/>
      <c r="M47" s="88"/>
      <c r="N47" s="15"/>
      <c r="O47" s="15"/>
      <c r="P47" s="15"/>
      <c r="Q47" s="15"/>
      <c r="R47" s="15"/>
      <c r="S47" s="16"/>
    </row>
    <row r="48" spans="1:21">
      <c r="A48" s="17"/>
      <c r="B48" s="21" t="s">
        <v>7</v>
      </c>
      <c r="C48" s="18"/>
      <c r="D48" s="18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19">
        <f t="shared" si="18"/>
        <v>0</v>
      </c>
      <c r="L48" s="14"/>
      <c r="M48" s="88"/>
      <c r="N48" s="15"/>
      <c r="O48" s="15"/>
      <c r="P48" s="15"/>
      <c r="Q48" s="15"/>
      <c r="R48" s="15"/>
      <c r="S48" s="16"/>
    </row>
    <row r="49" spans="1:19">
      <c r="A49" s="17"/>
      <c r="B49" s="21" t="s">
        <v>287</v>
      </c>
      <c r="C49" s="18"/>
      <c r="D49" s="18"/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19">
        <f t="shared" si="18"/>
        <v>0</v>
      </c>
      <c r="L49" s="14"/>
      <c r="M49" s="88"/>
      <c r="N49" s="15"/>
      <c r="O49" s="15"/>
      <c r="P49" s="15"/>
      <c r="Q49" s="15"/>
      <c r="R49" s="15"/>
      <c r="S49" s="16"/>
    </row>
    <row r="50" spans="1:19">
      <c r="A50" s="17"/>
      <c r="B50" s="21" t="s">
        <v>288</v>
      </c>
      <c r="C50" s="48"/>
      <c r="D50" s="186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19">
        <f t="shared" si="18"/>
        <v>0</v>
      </c>
      <c r="L50" s="14"/>
      <c r="M50" s="88"/>
      <c r="N50" s="15"/>
      <c r="O50" s="15"/>
      <c r="P50" s="15"/>
      <c r="Q50" s="15"/>
      <c r="R50" s="15"/>
      <c r="S50" s="16"/>
    </row>
    <row r="51" spans="1:19">
      <c r="A51" s="17"/>
      <c r="B51" s="21" t="s">
        <v>290</v>
      </c>
      <c r="C51" s="48"/>
      <c r="D51" s="309"/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19">
        <f t="shared" ref="J51" si="19">SUM(E51:I51)</f>
        <v>0</v>
      </c>
      <c r="L51" s="14"/>
      <c r="M51" s="88"/>
      <c r="N51" s="15"/>
      <c r="O51" s="15"/>
      <c r="P51" s="15"/>
      <c r="Q51" s="15"/>
      <c r="R51" s="15"/>
      <c r="S51" s="16"/>
    </row>
    <row r="52" spans="1:19">
      <c r="A52" s="17"/>
      <c r="B52" s="21" t="s">
        <v>289</v>
      </c>
      <c r="C52" s="18"/>
      <c r="D52" s="18"/>
      <c r="E52" s="38">
        <f>N52*$M52</f>
        <v>32476</v>
      </c>
      <c r="F52" s="38">
        <f>$M52*$S52*O52</f>
        <v>34099.800000000003</v>
      </c>
      <c r="G52" s="38">
        <f>$M52*$S52^2*P52</f>
        <v>35804.79</v>
      </c>
      <c r="H52" s="38">
        <f>$M52*$S52^3*Q52</f>
        <v>37595.029500000004</v>
      </c>
      <c r="I52" s="38">
        <f>$M52*$S52^4*R52</f>
        <v>39474.780975000001</v>
      </c>
      <c r="J52" s="19">
        <f t="shared" si="18"/>
        <v>179450.400475</v>
      </c>
      <c r="L52" s="49">
        <v>16238</v>
      </c>
      <c r="M52" s="96">
        <f>+L52/12</f>
        <v>1353.1666666666667</v>
      </c>
      <c r="N52" s="50">
        <f>+N16+N17</f>
        <v>24</v>
      </c>
      <c r="O52" s="50">
        <f>+O16+O17</f>
        <v>24</v>
      </c>
      <c r="P52" s="50">
        <f>+P16+P17</f>
        <v>24</v>
      </c>
      <c r="Q52" s="50">
        <f>+Q16+Q17</f>
        <v>24</v>
      </c>
      <c r="R52" s="50">
        <f>+R16+R17</f>
        <v>24</v>
      </c>
      <c r="S52" s="327">
        <v>1.05</v>
      </c>
    </row>
    <row r="53" spans="1:19">
      <c r="A53" s="17"/>
      <c r="B53" s="308" t="s">
        <v>127</v>
      </c>
      <c r="C53" s="307"/>
      <c r="D53" s="18"/>
      <c r="E53" s="38">
        <f>+N53*$L$53</f>
        <v>2647.68</v>
      </c>
      <c r="F53" s="38">
        <f>+O53*$L$53*$S$53</f>
        <v>2780.0639999999999</v>
      </c>
      <c r="G53" s="38">
        <f>+P53*$L$53*$S$53^2</f>
        <v>2919.0672</v>
      </c>
      <c r="H53" s="38">
        <f>+Q53*$L$53*$S$53^3</f>
        <v>3065.0205599999999</v>
      </c>
      <c r="I53" s="38">
        <f>+R53*$L$53*$S$53^4</f>
        <v>3218.2715879999996</v>
      </c>
      <c r="J53" s="19">
        <f t="shared" si="18"/>
        <v>14630.103348000001</v>
      </c>
      <c r="L53" s="126">
        <v>2647.68</v>
      </c>
      <c r="M53" s="96"/>
      <c r="N53" s="50">
        <f>IF(N18&gt;=1,1,0)</f>
        <v>1</v>
      </c>
      <c r="O53" s="50">
        <f>IF(O18&gt;=1,1,0)</f>
        <v>1</v>
      </c>
      <c r="P53" s="50">
        <f>IF(P18&gt;=1,1,0)</f>
        <v>1</v>
      </c>
      <c r="Q53" s="50">
        <f>IF(Q18&gt;=1,1,0)</f>
        <v>1</v>
      </c>
      <c r="R53" s="50">
        <f>IF(R18&gt;=1,1,0)</f>
        <v>1</v>
      </c>
      <c r="S53" s="327">
        <v>1.05</v>
      </c>
    </row>
    <row r="54" spans="1:19">
      <c r="A54" s="17"/>
      <c r="B54" s="18" t="s">
        <v>48</v>
      </c>
      <c r="C54" s="18"/>
      <c r="D54" s="18"/>
      <c r="E54" s="22">
        <f>SUM(E46:E53)</f>
        <v>39623.68</v>
      </c>
      <c r="F54" s="22">
        <f t="shared" ref="F54:I54" si="20">SUM(F46:F53)</f>
        <v>41379.864000000001</v>
      </c>
      <c r="G54" s="22">
        <f t="shared" si="20"/>
        <v>43223.857199999999</v>
      </c>
      <c r="H54" s="22">
        <f t="shared" si="20"/>
        <v>45160.050060000001</v>
      </c>
      <c r="I54" s="22">
        <f t="shared" si="20"/>
        <v>47193.052563000005</v>
      </c>
      <c r="J54" s="19">
        <f t="shared" si="18"/>
        <v>216580.50382300001</v>
      </c>
      <c r="L54" s="14"/>
      <c r="M54" s="88"/>
      <c r="N54" s="15"/>
      <c r="O54" s="15"/>
      <c r="P54" s="15"/>
      <c r="Q54" s="15"/>
      <c r="R54" s="15"/>
      <c r="S54" s="16"/>
    </row>
    <row r="55" spans="1:19" s="34" customFormat="1">
      <c r="A55" s="51" t="s">
        <v>5</v>
      </c>
      <c r="B55" s="31" t="s">
        <v>4</v>
      </c>
      <c r="C55" s="31"/>
      <c r="D55" s="31"/>
      <c r="E55" s="32">
        <f>E30+E34+E44+E54+E37</f>
        <v>232236.86461833332</v>
      </c>
      <c r="F55" s="32">
        <f>F30+F34+F44+F54+F35+F36</f>
        <v>268161.40169850003</v>
      </c>
      <c r="G55" s="32">
        <f>G30+G34+G44+G54+G35+G36</f>
        <v>281244.17178342497</v>
      </c>
      <c r="H55" s="32">
        <f>H30+H34+H44+H54+H35+H36</f>
        <v>294981.83037259628</v>
      </c>
      <c r="I55" s="32">
        <f>I30+I34+I44+I54+I35+I36</f>
        <v>309405.17189122608</v>
      </c>
      <c r="J55" s="33">
        <f t="shared" si="18"/>
        <v>1386029.4403640805</v>
      </c>
      <c r="L55" s="35"/>
      <c r="M55" s="89"/>
      <c r="N55" s="52"/>
      <c r="O55" s="52"/>
      <c r="P55" s="52"/>
      <c r="Q55" s="52"/>
      <c r="R55" s="52"/>
      <c r="S55" s="53"/>
    </row>
    <row r="56" spans="1:19">
      <c r="A56" s="284"/>
      <c r="B56" s="54" t="s">
        <v>291</v>
      </c>
      <c r="C56" s="54"/>
      <c r="D56" s="55"/>
      <c r="E56" s="56">
        <f>+E55-E52-E53-E34-E44-E50</f>
        <v>197113.18461833333</v>
      </c>
      <c r="F56" s="56">
        <f t="shared" ref="F56:I56" si="21">+F55-F52-F53-F34-F44-F50</f>
        <v>231281.53769850003</v>
      </c>
      <c r="G56" s="56">
        <f t="shared" si="21"/>
        <v>242520.31458342497</v>
      </c>
      <c r="H56" s="56">
        <f t="shared" si="21"/>
        <v>254321.78031259627</v>
      </c>
      <c r="I56" s="56">
        <f t="shared" si="21"/>
        <v>266712.11932822608</v>
      </c>
      <c r="J56" s="57">
        <f t="shared" si="18"/>
        <v>1191948.9365410805</v>
      </c>
      <c r="L56" s="14"/>
      <c r="M56" s="88"/>
      <c r="N56" s="15"/>
      <c r="O56" s="15"/>
      <c r="P56" s="15"/>
      <c r="Q56" s="15"/>
      <c r="R56" s="15"/>
      <c r="S56" s="16"/>
    </row>
    <row r="57" spans="1:19" s="34" customFormat="1">
      <c r="A57" s="51" t="s">
        <v>3</v>
      </c>
      <c r="B57" s="58" t="s">
        <v>2</v>
      </c>
      <c r="C57" s="58"/>
      <c r="D57" s="124"/>
      <c r="E57" s="42"/>
      <c r="F57" s="42"/>
      <c r="G57" s="42"/>
      <c r="H57" s="42"/>
      <c r="I57" s="42"/>
      <c r="J57" s="19"/>
      <c r="L57" s="35"/>
      <c r="M57" s="89"/>
      <c r="N57" s="52"/>
      <c r="O57" s="52"/>
      <c r="P57" s="52"/>
      <c r="Q57" s="52"/>
      <c r="R57" s="52"/>
      <c r="S57" s="303"/>
    </row>
    <row r="58" spans="1:19" s="34" customFormat="1">
      <c r="A58" s="315"/>
      <c r="B58" s="405" t="s">
        <v>293</v>
      </c>
      <c r="C58" s="405"/>
      <c r="D58" s="124">
        <f>VLOOKUP(B58,Fringe!$A$27:$B$35,2,0)</f>
        <v>0.55000000000000004</v>
      </c>
      <c r="E58" s="125">
        <f>+E56*$D$58</f>
        <v>108412.25154008334</v>
      </c>
      <c r="F58" s="125"/>
      <c r="G58" s="125"/>
      <c r="H58" s="125"/>
      <c r="I58" s="125"/>
      <c r="J58" s="60">
        <f t="shared" si="18"/>
        <v>108412.25154008334</v>
      </c>
      <c r="L58" s="35"/>
      <c r="M58" s="89"/>
      <c r="N58" s="52"/>
      <c r="O58" s="52"/>
      <c r="P58" s="52"/>
      <c r="Q58" s="52"/>
      <c r="R58" s="52"/>
      <c r="S58" s="303"/>
    </row>
    <row r="59" spans="1:19" s="34" customFormat="1" ht="15" thickBot="1">
      <c r="A59" s="30"/>
      <c r="B59" s="405" t="s">
        <v>294</v>
      </c>
      <c r="C59" s="405"/>
      <c r="D59" s="124">
        <f>VLOOKUP(B59,Fringe!$A$27:$B$35,2,0)</f>
        <v>0.56000000000000005</v>
      </c>
      <c r="E59" s="59"/>
      <c r="F59" s="59">
        <f>+F56*$D$59</f>
        <v>129517.66111116004</v>
      </c>
      <c r="G59" s="59">
        <f t="shared" ref="G59:I59" si="22">+G56*$D$59</f>
        <v>135811.37616671799</v>
      </c>
      <c r="H59" s="59">
        <f t="shared" si="22"/>
        <v>142420.19697505393</v>
      </c>
      <c r="I59" s="59">
        <f t="shared" si="22"/>
        <v>149358.78682380661</v>
      </c>
      <c r="J59" s="60">
        <f t="shared" si="18"/>
        <v>557108.0210767386</v>
      </c>
      <c r="L59" s="35"/>
      <c r="M59" s="89"/>
      <c r="N59" s="52"/>
      <c r="O59" s="52"/>
      <c r="P59" s="52"/>
      <c r="Q59" s="52"/>
      <c r="R59" s="52"/>
      <c r="S59" s="303"/>
    </row>
    <row r="60" spans="1:19" s="34" customFormat="1" ht="27.5" customHeight="1" thickBot="1">
      <c r="A60" s="62" t="s">
        <v>1</v>
      </c>
      <c r="B60" s="63" t="s">
        <v>0</v>
      </c>
      <c r="C60" s="63"/>
      <c r="D60" s="63"/>
      <c r="E60" s="64">
        <f>E58+E55+E59</f>
        <v>340649.11615841667</v>
      </c>
      <c r="F60" s="64">
        <f t="shared" ref="F60:I60" si="23">F58+F55+F59</f>
        <v>397679.0628096601</v>
      </c>
      <c r="G60" s="64">
        <f t="shared" si="23"/>
        <v>417055.54795014299</v>
      </c>
      <c r="H60" s="64">
        <f t="shared" si="23"/>
        <v>437402.0273476502</v>
      </c>
      <c r="I60" s="64">
        <f t="shared" si="23"/>
        <v>458763.95871503267</v>
      </c>
      <c r="J60" s="301">
        <f t="shared" si="18"/>
        <v>2051549.7129809028</v>
      </c>
      <c r="K60" s="65"/>
      <c r="L60" s="272"/>
      <c r="M60" s="304"/>
      <c r="N60" s="273"/>
      <c r="O60" s="273"/>
      <c r="P60" s="273"/>
      <c r="Q60" s="273"/>
      <c r="R60" s="273"/>
      <c r="S60" s="305"/>
    </row>
    <row r="61" spans="1:19">
      <c r="E61" s="67"/>
      <c r="F61" s="67"/>
      <c r="G61" s="67"/>
      <c r="H61" s="67"/>
      <c r="I61" s="67"/>
      <c r="J61" s="67"/>
    </row>
    <row r="62" spans="1:19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70" spans="2:2">
      <c r="B70" s="73"/>
    </row>
  </sheetData>
  <mergeCells count="3">
    <mergeCell ref="E4:J4"/>
    <mergeCell ref="B58:C58"/>
    <mergeCell ref="B59:C59"/>
  </mergeCells>
  <pageMargins left="0.25" right="0.25" top="0.5" bottom="0.5" header="0.3" footer="0.3"/>
  <pageSetup scale="71" orientation="landscape" horizontalDpi="4294967293" verticalDpi="4294967293" r:id="rId1"/>
  <headerFooter alignWithMargins="0">
    <oddHeader>&amp;A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90DAA6-8FA0-43EC-BB67-EE96EE6E177D}">
          <x14:formula1>
            <xm:f>Fringe!$A$27:$A$35</xm:f>
          </x14:formula1>
          <xm:sqref>B58:B59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31E1-066B-4388-BC80-07FC4DC3970E}">
  <dimension ref="A1:A23"/>
  <sheetViews>
    <sheetView workbookViewId="0">
      <selection activeCell="C19" sqref="C19"/>
    </sheetView>
  </sheetViews>
  <sheetFormatPr defaultRowHeight="14.5"/>
  <sheetData>
    <row r="1" spans="1:1" ht="17.5">
      <c r="A1" s="77" t="s">
        <v>54</v>
      </c>
    </row>
    <row r="2" spans="1:1">
      <c r="A2" s="78" t="s">
        <v>55</v>
      </c>
    </row>
    <row r="3" spans="1:1">
      <c r="A3" s="79" t="s">
        <v>56</v>
      </c>
    </row>
    <row r="4" spans="1:1">
      <c r="A4" s="79" t="s">
        <v>57</v>
      </c>
    </row>
    <row r="5" spans="1:1">
      <c r="A5" s="79" t="s">
        <v>58</v>
      </c>
    </row>
    <row r="6" spans="1:1">
      <c r="A6" s="79" t="s">
        <v>59</v>
      </c>
    </row>
    <row r="7" spans="1:1">
      <c r="A7" s="79" t="s">
        <v>60</v>
      </c>
    </row>
    <row r="8" spans="1:1">
      <c r="A8" s="79" t="s">
        <v>61</v>
      </c>
    </row>
    <row r="9" spans="1:1">
      <c r="A9" s="79" t="s">
        <v>62</v>
      </c>
    </row>
    <row r="10" spans="1:1">
      <c r="A10" s="79" t="s">
        <v>63</v>
      </c>
    </row>
    <row r="11" spans="1:1">
      <c r="A11" s="80"/>
    </row>
    <row r="13" spans="1:1" ht="17.5">
      <c r="A13" s="77" t="s">
        <v>64</v>
      </c>
    </row>
    <row r="14" spans="1:1">
      <c r="A14" s="78" t="s">
        <v>65</v>
      </c>
    </row>
    <row r="15" spans="1:1">
      <c r="A15" s="79" t="s">
        <v>66</v>
      </c>
    </row>
    <row r="16" spans="1:1">
      <c r="A16" s="79" t="s">
        <v>67</v>
      </c>
    </row>
    <row r="17" spans="1:1">
      <c r="A17" s="79" t="s">
        <v>68</v>
      </c>
    </row>
    <row r="18" spans="1:1">
      <c r="A18" s="79" t="s">
        <v>69</v>
      </c>
    </row>
    <row r="19" spans="1:1">
      <c r="A19" s="79" t="s">
        <v>70</v>
      </c>
    </row>
    <row r="20" spans="1:1">
      <c r="A20" s="79" t="s">
        <v>71</v>
      </c>
    </row>
    <row r="21" spans="1:1">
      <c r="A21" s="79" t="s">
        <v>72</v>
      </c>
    </row>
    <row r="22" spans="1:1">
      <c r="A22" s="79" t="s">
        <v>73</v>
      </c>
    </row>
    <row r="23" spans="1:1">
      <c r="A23" s="79" t="s">
        <v>74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D081-652E-4A3E-8CD0-030BAD7ACAA2}">
  <sheetPr>
    <pageSetUpPr fitToPage="1"/>
  </sheetPr>
  <dimension ref="A1:Y76"/>
  <sheetViews>
    <sheetView zoomScale="81" zoomScaleNormal="81" workbookViewId="0">
      <pane xSplit="3" ySplit="5" topLeftCell="D18" activePane="bottomRight" state="frozen"/>
      <selection activeCell="B18" sqref="B18"/>
      <selection pane="topRight" activeCell="B18" sqref="B18"/>
      <selection pane="bottomLeft" activeCell="B18" sqref="B18"/>
      <selection pane="bottomRight" activeCell="D46" sqref="D46"/>
    </sheetView>
  </sheetViews>
  <sheetFormatPr defaultColWidth="8.81640625" defaultRowHeight="14.5"/>
  <cols>
    <col min="1" max="1" width="3.81640625" style="2" customWidth="1"/>
    <col min="2" max="2" width="12.81640625" style="2" customWidth="1"/>
    <col min="3" max="3" width="13.81640625" style="2" customWidth="1"/>
    <col min="4" max="4" width="9.81640625" style="2" customWidth="1"/>
    <col min="5" max="9" width="14.08984375" style="2" customWidth="1"/>
    <col min="10" max="10" width="14.453125" style="2" customWidth="1"/>
    <col min="11" max="11" width="3.81640625" style="2" customWidth="1"/>
    <col min="12" max="12" width="10.90625" style="3" customWidth="1"/>
    <col min="13" max="13" width="10.1796875" style="3" customWidth="1"/>
    <col min="14" max="18" width="7" style="2" customWidth="1"/>
    <col min="19" max="19" width="7.81640625" style="2" bestFit="1" customWidth="1"/>
    <col min="20" max="20" width="3.81640625" style="2" customWidth="1"/>
    <col min="21" max="25" width="6.54296875" style="2" customWidth="1"/>
    <col min="26" max="26" width="11.54296875" style="2" bestFit="1" customWidth="1"/>
    <col min="27" max="27" width="11.453125" style="2" bestFit="1" customWidth="1"/>
    <col min="28" max="248" width="8.81640625" style="2"/>
    <col min="249" max="249" width="3.81640625" style="2" customWidth="1"/>
    <col min="250" max="250" width="8.81640625" style="2"/>
    <col min="251" max="251" width="14.453125" style="2" customWidth="1"/>
    <col min="252" max="252" width="38.7265625" style="2" customWidth="1"/>
    <col min="253" max="257" width="14" style="2" bestFit="1" customWidth="1"/>
    <col min="258" max="258" width="10.453125" style="2" bestFit="1" customWidth="1"/>
    <col min="259" max="259" width="8.81640625" style="2"/>
    <col min="260" max="260" width="11.26953125" style="2" bestFit="1" customWidth="1"/>
    <col min="261" max="261" width="5.453125" style="2" bestFit="1" customWidth="1"/>
    <col min="262" max="265" width="5" style="2" bestFit="1" customWidth="1"/>
    <col min="266" max="266" width="7.453125" style="2" bestFit="1" customWidth="1"/>
    <col min="267" max="267" width="10.453125" style="2" bestFit="1" customWidth="1"/>
    <col min="268" max="268" width="8.81640625" style="2"/>
    <col min="269" max="270" width="12.453125" style="2" bestFit="1" customWidth="1"/>
    <col min="271" max="271" width="14" style="2" bestFit="1" customWidth="1"/>
    <col min="272" max="504" width="8.81640625" style="2"/>
    <col min="505" max="505" width="3.81640625" style="2" customWidth="1"/>
    <col min="506" max="506" width="8.81640625" style="2"/>
    <col min="507" max="507" width="14.453125" style="2" customWidth="1"/>
    <col min="508" max="508" width="38.7265625" style="2" customWidth="1"/>
    <col min="509" max="513" width="14" style="2" bestFit="1" customWidth="1"/>
    <col min="514" max="514" width="10.453125" style="2" bestFit="1" customWidth="1"/>
    <col min="515" max="515" width="8.81640625" style="2"/>
    <col min="516" max="516" width="11.26953125" style="2" bestFit="1" customWidth="1"/>
    <col min="517" max="517" width="5.453125" style="2" bestFit="1" customWidth="1"/>
    <col min="518" max="521" width="5" style="2" bestFit="1" customWidth="1"/>
    <col min="522" max="522" width="7.453125" style="2" bestFit="1" customWidth="1"/>
    <col min="523" max="523" width="10.453125" style="2" bestFit="1" customWidth="1"/>
    <col min="524" max="524" width="8.81640625" style="2"/>
    <col min="525" max="526" width="12.453125" style="2" bestFit="1" customWidth="1"/>
    <col min="527" max="527" width="14" style="2" bestFit="1" customWidth="1"/>
    <col min="528" max="760" width="8.81640625" style="2"/>
    <col min="761" max="761" width="3.81640625" style="2" customWidth="1"/>
    <col min="762" max="762" width="8.81640625" style="2"/>
    <col min="763" max="763" width="14.453125" style="2" customWidth="1"/>
    <col min="764" max="764" width="38.7265625" style="2" customWidth="1"/>
    <col min="765" max="769" width="14" style="2" bestFit="1" customWidth="1"/>
    <col min="770" max="770" width="10.453125" style="2" bestFit="1" customWidth="1"/>
    <col min="771" max="771" width="8.81640625" style="2"/>
    <col min="772" max="772" width="11.26953125" style="2" bestFit="1" customWidth="1"/>
    <col min="773" max="773" width="5.453125" style="2" bestFit="1" customWidth="1"/>
    <col min="774" max="777" width="5" style="2" bestFit="1" customWidth="1"/>
    <col min="778" max="778" width="7.453125" style="2" bestFit="1" customWidth="1"/>
    <col min="779" max="779" width="10.453125" style="2" bestFit="1" customWidth="1"/>
    <col min="780" max="780" width="8.81640625" style="2"/>
    <col min="781" max="782" width="12.453125" style="2" bestFit="1" customWidth="1"/>
    <col min="783" max="783" width="14" style="2" bestFit="1" customWidth="1"/>
    <col min="784" max="1016" width="8.81640625" style="2"/>
    <col min="1017" max="1017" width="3.81640625" style="2" customWidth="1"/>
    <col min="1018" max="1018" width="8.81640625" style="2"/>
    <col min="1019" max="1019" width="14.453125" style="2" customWidth="1"/>
    <col min="1020" max="1020" width="38.7265625" style="2" customWidth="1"/>
    <col min="1021" max="1025" width="14" style="2" bestFit="1" customWidth="1"/>
    <col min="1026" max="1026" width="10.453125" style="2" bestFit="1" customWidth="1"/>
    <col min="1027" max="1027" width="8.81640625" style="2"/>
    <col min="1028" max="1028" width="11.26953125" style="2" bestFit="1" customWidth="1"/>
    <col min="1029" max="1029" width="5.453125" style="2" bestFit="1" customWidth="1"/>
    <col min="1030" max="1033" width="5" style="2" bestFit="1" customWidth="1"/>
    <col min="1034" max="1034" width="7.453125" style="2" bestFit="1" customWidth="1"/>
    <col min="1035" max="1035" width="10.453125" style="2" bestFit="1" customWidth="1"/>
    <col min="1036" max="1036" width="8.81640625" style="2"/>
    <col min="1037" max="1038" width="12.453125" style="2" bestFit="1" customWidth="1"/>
    <col min="1039" max="1039" width="14" style="2" bestFit="1" customWidth="1"/>
    <col min="1040" max="1272" width="8.81640625" style="2"/>
    <col min="1273" max="1273" width="3.81640625" style="2" customWidth="1"/>
    <col min="1274" max="1274" width="8.81640625" style="2"/>
    <col min="1275" max="1275" width="14.453125" style="2" customWidth="1"/>
    <col min="1276" max="1276" width="38.7265625" style="2" customWidth="1"/>
    <col min="1277" max="1281" width="14" style="2" bestFit="1" customWidth="1"/>
    <col min="1282" max="1282" width="10.453125" style="2" bestFit="1" customWidth="1"/>
    <col min="1283" max="1283" width="8.81640625" style="2"/>
    <col min="1284" max="1284" width="11.26953125" style="2" bestFit="1" customWidth="1"/>
    <col min="1285" max="1285" width="5.453125" style="2" bestFit="1" customWidth="1"/>
    <col min="1286" max="1289" width="5" style="2" bestFit="1" customWidth="1"/>
    <col min="1290" max="1290" width="7.453125" style="2" bestFit="1" customWidth="1"/>
    <col min="1291" max="1291" width="10.453125" style="2" bestFit="1" customWidth="1"/>
    <col min="1292" max="1292" width="8.81640625" style="2"/>
    <col min="1293" max="1294" width="12.453125" style="2" bestFit="1" customWidth="1"/>
    <col min="1295" max="1295" width="14" style="2" bestFit="1" customWidth="1"/>
    <col min="1296" max="1528" width="8.81640625" style="2"/>
    <col min="1529" max="1529" width="3.81640625" style="2" customWidth="1"/>
    <col min="1530" max="1530" width="8.81640625" style="2"/>
    <col min="1531" max="1531" width="14.453125" style="2" customWidth="1"/>
    <col min="1532" max="1532" width="38.7265625" style="2" customWidth="1"/>
    <col min="1533" max="1537" width="14" style="2" bestFit="1" customWidth="1"/>
    <col min="1538" max="1538" width="10.453125" style="2" bestFit="1" customWidth="1"/>
    <col min="1539" max="1539" width="8.81640625" style="2"/>
    <col min="1540" max="1540" width="11.26953125" style="2" bestFit="1" customWidth="1"/>
    <col min="1541" max="1541" width="5.453125" style="2" bestFit="1" customWidth="1"/>
    <col min="1542" max="1545" width="5" style="2" bestFit="1" customWidth="1"/>
    <col min="1546" max="1546" width="7.453125" style="2" bestFit="1" customWidth="1"/>
    <col min="1547" max="1547" width="10.453125" style="2" bestFit="1" customWidth="1"/>
    <col min="1548" max="1548" width="8.81640625" style="2"/>
    <col min="1549" max="1550" width="12.453125" style="2" bestFit="1" customWidth="1"/>
    <col min="1551" max="1551" width="14" style="2" bestFit="1" customWidth="1"/>
    <col min="1552" max="1784" width="8.81640625" style="2"/>
    <col min="1785" max="1785" width="3.81640625" style="2" customWidth="1"/>
    <col min="1786" max="1786" width="8.81640625" style="2"/>
    <col min="1787" max="1787" width="14.453125" style="2" customWidth="1"/>
    <col min="1788" max="1788" width="38.7265625" style="2" customWidth="1"/>
    <col min="1789" max="1793" width="14" style="2" bestFit="1" customWidth="1"/>
    <col min="1794" max="1794" width="10.453125" style="2" bestFit="1" customWidth="1"/>
    <col min="1795" max="1795" width="8.81640625" style="2"/>
    <col min="1796" max="1796" width="11.26953125" style="2" bestFit="1" customWidth="1"/>
    <col min="1797" max="1797" width="5.453125" style="2" bestFit="1" customWidth="1"/>
    <col min="1798" max="1801" width="5" style="2" bestFit="1" customWidth="1"/>
    <col min="1802" max="1802" width="7.453125" style="2" bestFit="1" customWidth="1"/>
    <col min="1803" max="1803" width="10.453125" style="2" bestFit="1" customWidth="1"/>
    <col min="1804" max="1804" width="8.81640625" style="2"/>
    <col min="1805" max="1806" width="12.453125" style="2" bestFit="1" customWidth="1"/>
    <col min="1807" max="1807" width="14" style="2" bestFit="1" customWidth="1"/>
    <col min="1808" max="2040" width="8.81640625" style="2"/>
    <col min="2041" max="2041" width="3.81640625" style="2" customWidth="1"/>
    <col min="2042" max="2042" width="8.81640625" style="2"/>
    <col min="2043" max="2043" width="14.453125" style="2" customWidth="1"/>
    <col min="2044" max="2044" width="38.7265625" style="2" customWidth="1"/>
    <col min="2045" max="2049" width="14" style="2" bestFit="1" customWidth="1"/>
    <col min="2050" max="2050" width="10.453125" style="2" bestFit="1" customWidth="1"/>
    <col min="2051" max="2051" width="8.81640625" style="2"/>
    <col min="2052" max="2052" width="11.26953125" style="2" bestFit="1" customWidth="1"/>
    <col min="2053" max="2053" width="5.453125" style="2" bestFit="1" customWidth="1"/>
    <col min="2054" max="2057" width="5" style="2" bestFit="1" customWidth="1"/>
    <col min="2058" max="2058" width="7.453125" style="2" bestFit="1" customWidth="1"/>
    <col min="2059" max="2059" width="10.453125" style="2" bestFit="1" customWidth="1"/>
    <col min="2060" max="2060" width="8.81640625" style="2"/>
    <col min="2061" max="2062" width="12.453125" style="2" bestFit="1" customWidth="1"/>
    <col min="2063" max="2063" width="14" style="2" bestFit="1" customWidth="1"/>
    <col min="2064" max="2296" width="8.81640625" style="2"/>
    <col min="2297" max="2297" width="3.81640625" style="2" customWidth="1"/>
    <col min="2298" max="2298" width="8.81640625" style="2"/>
    <col min="2299" max="2299" width="14.453125" style="2" customWidth="1"/>
    <col min="2300" max="2300" width="38.7265625" style="2" customWidth="1"/>
    <col min="2301" max="2305" width="14" style="2" bestFit="1" customWidth="1"/>
    <col min="2306" max="2306" width="10.453125" style="2" bestFit="1" customWidth="1"/>
    <col min="2307" max="2307" width="8.81640625" style="2"/>
    <col min="2308" max="2308" width="11.26953125" style="2" bestFit="1" customWidth="1"/>
    <col min="2309" max="2309" width="5.453125" style="2" bestFit="1" customWidth="1"/>
    <col min="2310" max="2313" width="5" style="2" bestFit="1" customWidth="1"/>
    <col min="2314" max="2314" width="7.453125" style="2" bestFit="1" customWidth="1"/>
    <col min="2315" max="2315" width="10.453125" style="2" bestFit="1" customWidth="1"/>
    <col min="2316" max="2316" width="8.81640625" style="2"/>
    <col min="2317" max="2318" width="12.453125" style="2" bestFit="1" customWidth="1"/>
    <col min="2319" max="2319" width="14" style="2" bestFit="1" customWidth="1"/>
    <col min="2320" max="2552" width="8.81640625" style="2"/>
    <col min="2553" max="2553" width="3.81640625" style="2" customWidth="1"/>
    <col min="2554" max="2554" width="8.81640625" style="2"/>
    <col min="2555" max="2555" width="14.453125" style="2" customWidth="1"/>
    <col min="2556" max="2556" width="38.7265625" style="2" customWidth="1"/>
    <col min="2557" max="2561" width="14" style="2" bestFit="1" customWidth="1"/>
    <col min="2562" max="2562" width="10.453125" style="2" bestFit="1" customWidth="1"/>
    <col min="2563" max="2563" width="8.81640625" style="2"/>
    <col min="2564" max="2564" width="11.26953125" style="2" bestFit="1" customWidth="1"/>
    <col min="2565" max="2565" width="5.453125" style="2" bestFit="1" customWidth="1"/>
    <col min="2566" max="2569" width="5" style="2" bestFit="1" customWidth="1"/>
    <col min="2570" max="2570" width="7.453125" style="2" bestFit="1" customWidth="1"/>
    <col min="2571" max="2571" width="10.453125" style="2" bestFit="1" customWidth="1"/>
    <col min="2572" max="2572" width="8.81640625" style="2"/>
    <col min="2573" max="2574" width="12.453125" style="2" bestFit="1" customWidth="1"/>
    <col min="2575" max="2575" width="14" style="2" bestFit="1" customWidth="1"/>
    <col min="2576" max="2808" width="8.81640625" style="2"/>
    <col min="2809" max="2809" width="3.81640625" style="2" customWidth="1"/>
    <col min="2810" max="2810" width="8.81640625" style="2"/>
    <col min="2811" max="2811" width="14.453125" style="2" customWidth="1"/>
    <col min="2812" max="2812" width="38.7265625" style="2" customWidth="1"/>
    <col min="2813" max="2817" width="14" style="2" bestFit="1" customWidth="1"/>
    <col min="2818" max="2818" width="10.453125" style="2" bestFit="1" customWidth="1"/>
    <col min="2819" max="2819" width="8.81640625" style="2"/>
    <col min="2820" max="2820" width="11.26953125" style="2" bestFit="1" customWidth="1"/>
    <col min="2821" max="2821" width="5.453125" style="2" bestFit="1" customWidth="1"/>
    <col min="2822" max="2825" width="5" style="2" bestFit="1" customWidth="1"/>
    <col min="2826" max="2826" width="7.453125" style="2" bestFit="1" customWidth="1"/>
    <col min="2827" max="2827" width="10.453125" style="2" bestFit="1" customWidth="1"/>
    <col min="2828" max="2828" width="8.81640625" style="2"/>
    <col min="2829" max="2830" width="12.453125" style="2" bestFit="1" customWidth="1"/>
    <col min="2831" max="2831" width="14" style="2" bestFit="1" customWidth="1"/>
    <col min="2832" max="3064" width="8.81640625" style="2"/>
    <col min="3065" max="3065" width="3.81640625" style="2" customWidth="1"/>
    <col min="3066" max="3066" width="8.81640625" style="2"/>
    <col min="3067" max="3067" width="14.453125" style="2" customWidth="1"/>
    <col min="3068" max="3068" width="38.7265625" style="2" customWidth="1"/>
    <col min="3069" max="3073" width="14" style="2" bestFit="1" customWidth="1"/>
    <col min="3074" max="3074" width="10.453125" style="2" bestFit="1" customWidth="1"/>
    <col min="3075" max="3075" width="8.81640625" style="2"/>
    <col min="3076" max="3076" width="11.26953125" style="2" bestFit="1" customWidth="1"/>
    <col min="3077" max="3077" width="5.453125" style="2" bestFit="1" customWidth="1"/>
    <col min="3078" max="3081" width="5" style="2" bestFit="1" customWidth="1"/>
    <col min="3082" max="3082" width="7.453125" style="2" bestFit="1" customWidth="1"/>
    <col min="3083" max="3083" width="10.453125" style="2" bestFit="1" customWidth="1"/>
    <col min="3084" max="3084" width="8.81640625" style="2"/>
    <col min="3085" max="3086" width="12.453125" style="2" bestFit="1" customWidth="1"/>
    <col min="3087" max="3087" width="14" style="2" bestFit="1" customWidth="1"/>
    <col min="3088" max="3320" width="8.81640625" style="2"/>
    <col min="3321" max="3321" width="3.81640625" style="2" customWidth="1"/>
    <col min="3322" max="3322" width="8.81640625" style="2"/>
    <col min="3323" max="3323" width="14.453125" style="2" customWidth="1"/>
    <col min="3324" max="3324" width="38.7265625" style="2" customWidth="1"/>
    <col min="3325" max="3329" width="14" style="2" bestFit="1" customWidth="1"/>
    <col min="3330" max="3330" width="10.453125" style="2" bestFit="1" customWidth="1"/>
    <col min="3331" max="3331" width="8.81640625" style="2"/>
    <col min="3332" max="3332" width="11.26953125" style="2" bestFit="1" customWidth="1"/>
    <col min="3333" max="3333" width="5.453125" style="2" bestFit="1" customWidth="1"/>
    <col min="3334" max="3337" width="5" style="2" bestFit="1" customWidth="1"/>
    <col min="3338" max="3338" width="7.453125" style="2" bestFit="1" customWidth="1"/>
    <col min="3339" max="3339" width="10.453125" style="2" bestFit="1" customWidth="1"/>
    <col min="3340" max="3340" width="8.81640625" style="2"/>
    <col min="3341" max="3342" width="12.453125" style="2" bestFit="1" customWidth="1"/>
    <col min="3343" max="3343" width="14" style="2" bestFit="1" customWidth="1"/>
    <col min="3344" max="3576" width="8.81640625" style="2"/>
    <col min="3577" max="3577" width="3.81640625" style="2" customWidth="1"/>
    <col min="3578" max="3578" width="8.81640625" style="2"/>
    <col min="3579" max="3579" width="14.453125" style="2" customWidth="1"/>
    <col min="3580" max="3580" width="38.7265625" style="2" customWidth="1"/>
    <col min="3581" max="3585" width="14" style="2" bestFit="1" customWidth="1"/>
    <col min="3586" max="3586" width="10.453125" style="2" bestFit="1" customWidth="1"/>
    <col min="3587" max="3587" width="8.81640625" style="2"/>
    <col min="3588" max="3588" width="11.26953125" style="2" bestFit="1" customWidth="1"/>
    <col min="3589" max="3589" width="5.453125" style="2" bestFit="1" customWidth="1"/>
    <col min="3590" max="3593" width="5" style="2" bestFit="1" customWidth="1"/>
    <col min="3594" max="3594" width="7.453125" style="2" bestFit="1" customWidth="1"/>
    <col min="3595" max="3595" width="10.453125" style="2" bestFit="1" customWidth="1"/>
    <col min="3596" max="3596" width="8.81640625" style="2"/>
    <col min="3597" max="3598" width="12.453125" style="2" bestFit="1" customWidth="1"/>
    <col min="3599" max="3599" width="14" style="2" bestFit="1" customWidth="1"/>
    <col min="3600" max="3832" width="8.81640625" style="2"/>
    <col min="3833" max="3833" width="3.81640625" style="2" customWidth="1"/>
    <col min="3834" max="3834" width="8.81640625" style="2"/>
    <col min="3835" max="3835" width="14.453125" style="2" customWidth="1"/>
    <col min="3836" max="3836" width="38.7265625" style="2" customWidth="1"/>
    <col min="3837" max="3841" width="14" style="2" bestFit="1" customWidth="1"/>
    <col min="3842" max="3842" width="10.453125" style="2" bestFit="1" customWidth="1"/>
    <col min="3843" max="3843" width="8.81640625" style="2"/>
    <col min="3844" max="3844" width="11.26953125" style="2" bestFit="1" customWidth="1"/>
    <col min="3845" max="3845" width="5.453125" style="2" bestFit="1" customWidth="1"/>
    <col min="3846" max="3849" width="5" style="2" bestFit="1" customWidth="1"/>
    <col min="3850" max="3850" width="7.453125" style="2" bestFit="1" customWidth="1"/>
    <col min="3851" max="3851" width="10.453125" style="2" bestFit="1" customWidth="1"/>
    <col min="3852" max="3852" width="8.81640625" style="2"/>
    <col min="3853" max="3854" width="12.453125" style="2" bestFit="1" customWidth="1"/>
    <col min="3855" max="3855" width="14" style="2" bestFit="1" customWidth="1"/>
    <col min="3856" max="4088" width="8.81640625" style="2"/>
    <col min="4089" max="4089" width="3.81640625" style="2" customWidth="1"/>
    <col min="4090" max="4090" width="8.81640625" style="2"/>
    <col min="4091" max="4091" width="14.453125" style="2" customWidth="1"/>
    <col min="4092" max="4092" width="38.7265625" style="2" customWidth="1"/>
    <col min="4093" max="4097" width="14" style="2" bestFit="1" customWidth="1"/>
    <col min="4098" max="4098" width="10.453125" style="2" bestFit="1" customWidth="1"/>
    <col min="4099" max="4099" width="8.81640625" style="2"/>
    <col min="4100" max="4100" width="11.26953125" style="2" bestFit="1" customWidth="1"/>
    <col min="4101" max="4101" width="5.453125" style="2" bestFit="1" customWidth="1"/>
    <col min="4102" max="4105" width="5" style="2" bestFit="1" customWidth="1"/>
    <col min="4106" max="4106" width="7.453125" style="2" bestFit="1" customWidth="1"/>
    <col min="4107" max="4107" width="10.453125" style="2" bestFit="1" customWidth="1"/>
    <col min="4108" max="4108" width="8.81640625" style="2"/>
    <col min="4109" max="4110" width="12.453125" style="2" bestFit="1" customWidth="1"/>
    <col min="4111" max="4111" width="14" style="2" bestFit="1" customWidth="1"/>
    <col min="4112" max="4344" width="8.81640625" style="2"/>
    <col min="4345" max="4345" width="3.81640625" style="2" customWidth="1"/>
    <col min="4346" max="4346" width="8.81640625" style="2"/>
    <col min="4347" max="4347" width="14.453125" style="2" customWidth="1"/>
    <col min="4348" max="4348" width="38.7265625" style="2" customWidth="1"/>
    <col min="4349" max="4353" width="14" style="2" bestFit="1" customWidth="1"/>
    <col min="4354" max="4354" width="10.453125" style="2" bestFit="1" customWidth="1"/>
    <col min="4355" max="4355" width="8.81640625" style="2"/>
    <col min="4356" max="4356" width="11.26953125" style="2" bestFit="1" customWidth="1"/>
    <col min="4357" max="4357" width="5.453125" style="2" bestFit="1" customWidth="1"/>
    <col min="4358" max="4361" width="5" style="2" bestFit="1" customWidth="1"/>
    <col min="4362" max="4362" width="7.453125" style="2" bestFit="1" customWidth="1"/>
    <col min="4363" max="4363" width="10.453125" style="2" bestFit="1" customWidth="1"/>
    <col min="4364" max="4364" width="8.81640625" style="2"/>
    <col min="4365" max="4366" width="12.453125" style="2" bestFit="1" customWidth="1"/>
    <col min="4367" max="4367" width="14" style="2" bestFit="1" customWidth="1"/>
    <col min="4368" max="4600" width="8.81640625" style="2"/>
    <col min="4601" max="4601" width="3.81640625" style="2" customWidth="1"/>
    <col min="4602" max="4602" width="8.81640625" style="2"/>
    <col min="4603" max="4603" width="14.453125" style="2" customWidth="1"/>
    <col min="4604" max="4604" width="38.7265625" style="2" customWidth="1"/>
    <col min="4605" max="4609" width="14" style="2" bestFit="1" customWidth="1"/>
    <col min="4610" max="4610" width="10.453125" style="2" bestFit="1" customWidth="1"/>
    <col min="4611" max="4611" width="8.81640625" style="2"/>
    <col min="4612" max="4612" width="11.26953125" style="2" bestFit="1" customWidth="1"/>
    <col min="4613" max="4613" width="5.453125" style="2" bestFit="1" customWidth="1"/>
    <col min="4614" max="4617" width="5" style="2" bestFit="1" customWidth="1"/>
    <col min="4618" max="4618" width="7.453125" style="2" bestFit="1" customWidth="1"/>
    <col min="4619" max="4619" width="10.453125" style="2" bestFit="1" customWidth="1"/>
    <col min="4620" max="4620" width="8.81640625" style="2"/>
    <col min="4621" max="4622" width="12.453125" style="2" bestFit="1" customWidth="1"/>
    <col min="4623" max="4623" width="14" style="2" bestFit="1" customWidth="1"/>
    <col min="4624" max="4856" width="8.81640625" style="2"/>
    <col min="4857" max="4857" width="3.81640625" style="2" customWidth="1"/>
    <col min="4858" max="4858" width="8.81640625" style="2"/>
    <col min="4859" max="4859" width="14.453125" style="2" customWidth="1"/>
    <col min="4860" max="4860" width="38.7265625" style="2" customWidth="1"/>
    <col min="4861" max="4865" width="14" style="2" bestFit="1" customWidth="1"/>
    <col min="4866" max="4866" width="10.453125" style="2" bestFit="1" customWidth="1"/>
    <col min="4867" max="4867" width="8.81640625" style="2"/>
    <col min="4868" max="4868" width="11.26953125" style="2" bestFit="1" customWidth="1"/>
    <col min="4869" max="4869" width="5.453125" style="2" bestFit="1" customWidth="1"/>
    <col min="4870" max="4873" width="5" style="2" bestFit="1" customWidth="1"/>
    <col min="4874" max="4874" width="7.453125" style="2" bestFit="1" customWidth="1"/>
    <col min="4875" max="4875" width="10.453125" style="2" bestFit="1" customWidth="1"/>
    <col min="4876" max="4876" width="8.81640625" style="2"/>
    <col min="4877" max="4878" width="12.453125" style="2" bestFit="1" customWidth="1"/>
    <col min="4879" max="4879" width="14" style="2" bestFit="1" customWidth="1"/>
    <col min="4880" max="5112" width="8.81640625" style="2"/>
    <col min="5113" max="5113" width="3.81640625" style="2" customWidth="1"/>
    <col min="5114" max="5114" width="8.81640625" style="2"/>
    <col min="5115" max="5115" width="14.453125" style="2" customWidth="1"/>
    <col min="5116" max="5116" width="38.7265625" style="2" customWidth="1"/>
    <col min="5117" max="5121" width="14" style="2" bestFit="1" customWidth="1"/>
    <col min="5122" max="5122" width="10.453125" style="2" bestFit="1" customWidth="1"/>
    <col min="5123" max="5123" width="8.81640625" style="2"/>
    <col min="5124" max="5124" width="11.26953125" style="2" bestFit="1" customWidth="1"/>
    <col min="5125" max="5125" width="5.453125" style="2" bestFit="1" customWidth="1"/>
    <col min="5126" max="5129" width="5" style="2" bestFit="1" customWidth="1"/>
    <col min="5130" max="5130" width="7.453125" style="2" bestFit="1" customWidth="1"/>
    <col min="5131" max="5131" width="10.453125" style="2" bestFit="1" customWidth="1"/>
    <col min="5132" max="5132" width="8.81640625" style="2"/>
    <col min="5133" max="5134" width="12.453125" style="2" bestFit="1" customWidth="1"/>
    <col min="5135" max="5135" width="14" style="2" bestFit="1" customWidth="1"/>
    <col min="5136" max="5368" width="8.81640625" style="2"/>
    <col min="5369" max="5369" width="3.81640625" style="2" customWidth="1"/>
    <col min="5370" max="5370" width="8.81640625" style="2"/>
    <col min="5371" max="5371" width="14.453125" style="2" customWidth="1"/>
    <col min="5372" max="5372" width="38.7265625" style="2" customWidth="1"/>
    <col min="5373" max="5377" width="14" style="2" bestFit="1" customWidth="1"/>
    <col min="5378" max="5378" width="10.453125" style="2" bestFit="1" customWidth="1"/>
    <col min="5379" max="5379" width="8.81640625" style="2"/>
    <col min="5380" max="5380" width="11.26953125" style="2" bestFit="1" customWidth="1"/>
    <col min="5381" max="5381" width="5.453125" style="2" bestFit="1" customWidth="1"/>
    <col min="5382" max="5385" width="5" style="2" bestFit="1" customWidth="1"/>
    <col min="5386" max="5386" width="7.453125" style="2" bestFit="1" customWidth="1"/>
    <col min="5387" max="5387" width="10.453125" style="2" bestFit="1" customWidth="1"/>
    <col min="5388" max="5388" width="8.81640625" style="2"/>
    <col min="5389" max="5390" width="12.453125" style="2" bestFit="1" customWidth="1"/>
    <col min="5391" max="5391" width="14" style="2" bestFit="1" customWidth="1"/>
    <col min="5392" max="5624" width="8.81640625" style="2"/>
    <col min="5625" max="5625" width="3.81640625" style="2" customWidth="1"/>
    <col min="5626" max="5626" width="8.81640625" style="2"/>
    <col min="5627" max="5627" width="14.453125" style="2" customWidth="1"/>
    <col min="5628" max="5628" width="38.7265625" style="2" customWidth="1"/>
    <col min="5629" max="5633" width="14" style="2" bestFit="1" customWidth="1"/>
    <col min="5634" max="5634" width="10.453125" style="2" bestFit="1" customWidth="1"/>
    <col min="5635" max="5635" width="8.81640625" style="2"/>
    <col min="5636" max="5636" width="11.26953125" style="2" bestFit="1" customWidth="1"/>
    <col min="5637" max="5637" width="5.453125" style="2" bestFit="1" customWidth="1"/>
    <col min="5638" max="5641" width="5" style="2" bestFit="1" customWidth="1"/>
    <col min="5642" max="5642" width="7.453125" style="2" bestFit="1" customWidth="1"/>
    <col min="5643" max="5643" width="10.453125" style="2" bestFit="1" customWidth="1"/>
    <col min="5644" max="5644" width="8.81640625" style="2"/>
    <col min="5645" max="5646" width="12.453125" style="2" bestFit="1" customWidth="1"/>
    <col min="5647" max="5647" width="14" style="2" bestFit="1" customWidth="1"/>
    <col min="5648" max="5880" width="8.81640625" style="2"/>
    <col min="5881" max="5881" width="3.81640625" style="2" customWidth="1"/>
    <col min="5882" max="5882" width="8.81640625" style="2"/>
    <col min="5883" max="5883" width="14.453125" style="2" customWidth="1"/>
    <col min="5884" max="5884" width="38.7265625" style="2" customWidth="1"/>
    <col min="5885" max="5889" width="14" style="2" bestFit="1" customWidth="1"/>
    <col min="5890" max="5890" width="10.453125" style="2" bestFit="1" customWidth="1"/>
    <col min="5891" max="5891" width="8.81640625" style="2"/>
    <col min="5892" max="5892" width="11.26953125" style="2" bestFit="1" customWidth="1"/>
    <col min="5893" max="5893" width="5.453125" style="2" bestFit="1" customWidth="1"/>
    <col min="5894" max="5897" width="5" style="2" bestFit="1" customWidth="1"/>
    <col min="5898" max="5898" width="7.453125" style="2" bestFit="1" customWidth="1"/>
    <col min="5899" max="5899" width="10.453125" style="2" bestFit="1" customWidth="1"/>
    <col min="5900" max="5900" width="8.81640625" style="2"/>
    <col min="5901" max="5902" width="12.453125" style="2" bestFit="1" customWidth="1"/>
    <col min="5903" max="5903" width="14" style="2" bestFit="1" customWidth="1"/>
    <col min="5904" max="6136" width="8.81640625" style="2"/>
    <col min="6137" max="6137" width="3.81640625" style="2" customWidth="1"/>
    <col min="6138" max="6138" width="8.81640625" style="2"/>
    <col min="6139" max="6139" width="14.453125" style="2" customWidth="1"/>
    <col min="6140" max="6140" width="38.7265625" style="2" customWidth="1"/>
    <col min="6141" max="6145" width="14" style="2" bestFit="1" customWidth="1"/>
    <col min="6146" max="6146" width="10.453125" style="2" bestFit="1" customWidth="1"/>
    <col min="6147" max="6147" width="8.81640625" style="2"/>
    <col min="6148" max="6148" width="11.26953125" style="2" bestFit="1" customWidth="1"/>
    <col min="6149" max="6149" width="5.453125" style="2" bestFit="1" customWidth="1"/>
    <col min="6150" max="6153" width="5" style="2" bestFit="1" customWidth="1"/>
    <col min="6154" max="6154" width="7.453125" style="2" bestFit="1" customWidth="1"/>
    <col min="6155" max="6155" width="10.453125" style="2" bestFit="1" customWidth="1"/>
    <col min="6156" max="6156" width="8.81640625" style="2"/>
    <col min="6157" max="6158" width="12.453125" style="2" bestFit="1" customWidth="1"/>
    <col min="6159" max="6159" width="14" style="2" bestFit="1" customWidth="1"/>
    <col min="6160" max="6392" width="8.81640625" style="2"/>
    <col min="6393" max="6393" width="3.81640625" style="2" customWidth="1"/>
    <col min="6394" max="6394" width="8.81640625" style="2"/>
    <col min="6395" max="6395" width="14.453125" style="2" customWidth="1"/>
    <col min="6396" max="6396" width="38.7265625" style="2" customWidth="1"/>
    <col min="6397" max="6401" width="14" style="2" bestFit="1" customWidth="1"/>
    <col min="6402" max="6402" width="10.453125" style="2" bestFit="1" customWidth="1"/>
    <col min="6403" max="6403" width="8.81640625" style="2"/>
    <col min="6404" max="6404" width="11.26953125" style="2" bestFit="1" customWidth="1"/>
    <col min="6405" max="6405" width="5.453125" style="2" bestFit="1" customWidth="1"/>
    <col min="6406" max="6409" width="5" style="2" bestFit="1" customWidth="1"/>
    <col min="6410" max="6410" width="7.453125" style="2" bestFit="1" customWidth="1"/>
    <col min="6411" max="6411" width="10.453125" style="2" bestFit="1" customWidth="1"/>
    <col min="6412" max="6412" width="8.81640625" style="2"/>
    <col min="6413" max="6414" width="12.453125" style="2" bestFit="1" customWidth="1"/>
    <col min="6415" max="6415" width="14" style="2" bestFit="1" customWidth="1"/>
    <col min="6416" max="6648" width="8.81640625" style="2"/>
    <col min="6649" max="6649" width="3.81640625" style="2" customWidth="1"/>
    <col min="6650" max="6650" width="8.81640625" style="2"/>
    <col min="6651" max="6651" width="14.453125" style="2" customWidth="1"/>
    <col min="6652" max="6652" width="38.7265625" style="2" customWidth="1"/>
    <col min="6653" max="6657" width="14" style="2" bestFit="1" customWidth="1"/>
    <col min="6658" max="6658" width="10.453125" style="2" bestFit="1" customWidth="1"/>
    <col min="6659" max="6659" width="8.81640625" style="2"/>
    <col min="6660" max="6660" width="11.26953125" style="2" bestFit="1" customWidth="1"/>
    <col min="6661" max="6661" width="5.453125" style="2" bestFit="1" customWidth="1"/>
    <col min="6662" max="6665" width="5" style="2" bestFit="1" customWidth="1"/>
    <col min="6666" max="6666" width="7.453125" style="2" bestFit="1" customWidth="1"/>
    <col min="6667" max="6667" width="10.453125" style="2" bestFit="1" customWidth="1"/>
    <col min="6668" max="6668" width="8.81640625" style="2"/>
    <col min="6669" max="6670" width="12.453125" style="2" bestFit="1" customWidth="1"/>
    <col min="6671" max="6671" width="14" style="2" bestFit="1" customWidth="1"/>
    <col min="6672" max="6904" width="8.81640625" style="2"/>
    <col min="6905" max="6905" width="3.81640625" style="2" customWidth="1"/>
    <col min="6906" max="6906" width="8.81640625" style="2"/>
    <col min="6907" max="6907" width="14.453125" style="2" customWidth="1"/>
    <col min="6908" max="6908" width="38.7265625" style="2" customWidth="1"/>
    <col min="6909" max="6913" width="14" style="2" bestFit="1" customWidth="1"/>
    <col min="6914" max="6914" width="10.453125" style="2" bestFit="1" customWidth="1"/>
    <col min="6915" max="6915" width="8.81640625" style="2"/>
    <col min="6916" max="6916" width="11.26953125" style="2" bestFit="1" customWidth="1"/>
    <col min="6917" max="6917" width="5.453125" style="2" bestFit="1" customWidth="1"/>
    <col min="6918" max="6921" width="5" style="2" bestFit="1" customWidth="1"/>
    <col min="6922" max="6922" width="7.453125" style="2" bestFit="1" customWidth="1"/>
    <col min="6923" max="6923" width="10.453125" style="2" bestFit="1" customWidth="1"/>
    <col min="6924" max="6924" width="8.81640625" style="2"/>
    <col min="6925" max="6926" width="12.453125" style="2" bestFit="1" customWidth="1"/>
    <col min="6927" max="6927" width="14" style="2" bestFit="1" customWidth="1"/>
    <col min="6928" max="7160" width="8.81640625" style="2"/>
    <col min="7161" max="7161" width="3.81640625" style="2" customWidth="1"/>
    <col min="7162" max="7162" width="8.81640625" style="2"/>
    <col min="7163" max="7163" width="14.453125" style="2" customWidth="1"/>
    <col min="7164" max="7164" width="38.7265625" style="2" customWidth="1"/>
    <col min="7165" max="7169" width="14" style="2" bestFit="1" customWidth="1"/>
    <col min="7170" max="7170" width="10.453125" style="2" bestFit="1" customWidth="1"/>
    <col min="7171" max="7171" width="8.81640625" style="2"/>
    <col min="7172" max="7172" width="11.26953125" style="2" bestFit="1" customWidth="1"/>
    <col min="7173" max="7173" width="5.453125" style="2" bestFit="1" customWidth="1"/>
    <col min="7174" max="7177" width="5" style="2" bestFit="1" customWidth="1"/>
    <col min="7178" max="7178" width="7.453125" style="2" bestFit="1" customWidth="1"/>
    <col min="7179" max="7179" width="10.453125" style="2" bestFit="1" customWidth="1"/>
    <col min="7180" max="7180" width="8.81640625" style="2"/>
    <col min="7181" max="7182" width="12.453125" style="2" bestFit="1" customWidth="1"/>
    <col min="7183" max="7183" width="14" style="2" bestFit="1" customWidth="1"/>
    <col min="7184" max="7416" width="8.81640625" style="2"/>
    <col min="7417" max="7417" width="3.81640625" style="2" customWidth="1"/>
    <col min="7418" max="7418" width="8.81640625" style="2"/>
    <col min="7419" max="7419" width="14.453125" style="2" customWidth="1"/>
    <col min="7420" max="7420" width="38.7265625" style="2" customWidth="1"/>
    <col min="7421" max="7425" width="14" style="2" bestFit="1" customWidth="1"/>
    <col min="7426" max="7426" width="10.453125" style="2" bestFit="1" customWidth="1"/>
    <col min="7427" max="7427" width="8.81640625" style="2"/>
    <col min="7428" max="7428" width="11.26953125" style="2" bestFit="1" customWidth="1"/>
    <col min="7429" max="7429" width="5.453125" style="2" bestFit="1" customWidth="1"/>
    <col min="7430" max="7433" width="5" style="2" bestFit="1" customWidth="1"/>
    <col min="7434" max="7434" width="7.453125" style="2" bestFit="1" customWidth="1"/>
    <col min="7435" max="7435" width="10.453125" style="2" bestFit="1" customWidth="1"/>
    <col min="7436" max="7436" width="8.81640625" style="2"/>
    <col min="7437" max="7438" width="12.453125" style="2" bestFit="1" customWidth="1"/>
    <col min="7439" max="7439" width="14" style="2" bestFit="1" customWidth="1"/>
    <col min="7440" max="7672" width="8.81640625" style="2"/>
    <col min="7673" max="7673" width="3.81640625" style="2" customWidth="1"/>
    <col min="7674" max="7674" width="8.81640625" style="2"/>
    <col min="7675" max="7675" width="14.453125" style="2" customWidth="1"/>
    <col min="7676" max="7676" width="38.7265625" style="2" customWidth="1"/>
    <col min="7677" max="7681" width="14" style="2" bestFit="1" customWidth="1"/>
    <col min="7682" max="7682" width="10.453125" style="2" bestFit="1" customWidth="1"/>
    <col min="7683" max="7683" width="8.81640625" style="2"/>
    <col min="7684" max="7684" width="11.26953125" style="2" bestFit="1" customWidth="1"/>
    <col min="7685" max="7685" width="5.453125" style="2" bestFit="1" customWidth="1"/>
    <col min="7686" max="7689" width="5" style="2" bestFit="1" customWidth="1"/>
    <col min="7690" max="7690" width="7.453125" style="2" bestFit="1" customWidth="1"/>
    <col min="7691" max="7691" width="10.453125" style="2" bestFit="1" customWidth="1"/>
    <col min="7692" max="7692" width="8.81640625" style="2"/>
    <col min="7693" max="7694" width="12.453125" style="2" bestFit="1" customWidth="1"/>
    <col min="7695" max="7695" width="14" style="2" bestFit="1" customWidth="1"/>
    <col min="7696" max="7928" width="8.81640625" style="2"/>
    <col min="7929" max="7929" width="3.81640625" style="2" customWidth="1"/>
    <col min="7930" max="7930" width="8.81640625" style="2"/>
    <col min="7931" max="7931" width="14.453125" style="2" customWidth="1"/>
    <col min="7932" max="7932" width="38.7265625" style="2" customWidth="1"/>
    <col min="7933" max="7937" width="14" style="2" bestFit="1" customWidth="1"/>
    <col min="7938" max="7938" width="10.453125" style="2" bestFit="1" customWidth="1"/>
    <col min="7939" max="7939" width="8.81640625" style="2"/>
    <col min="7940" max="7940" width="11.26953125" style="2" bestFit="1" customWidth="1"/>
    <col min="7941" max="7941" width="5.453125" style="2" bestFit="1" customWidth="1"/>
    <col min="7942" max="7945" width="5" style="2" bestFit="1" customWidth="1"/>
    <col min="7946" max="7946" width="7.453125" style="2" bestFit="1" customWidth="1"/>
    <col min="7947" max="7947" width="10.453125" style="2" bestFit="1" customWidth="1"/>
    <col min="7948" max="7948" width="8.81640625" style="2"/>
    <col min="7949" max="7950" width="12.453125" style="2" bestFit="1" customWidth="1"/>
    <col min="7951" max="7951" width="14" style="2" bestFit="1" customWidth="1"/>
    <col min="7952" max="8184" width="8.81640625" style="2"/>
    <col min="8185" max="8185" width="3.81640625" style="2" customWidth="1"/>
    <col min="8186" max="8186" width="8.81640625" style="2"/>
    <col min="8187" max="8187" width="14.453125" style="2" customWidth="1"/>
    <col min="8188" max="8188" width="38.7265625" style="2" customWidth="1"/>
    <col min="8189" max="8193" width="14" style="2" bestFit="1" customWidth="1"/>
    <col min="8194" max="8194" width="10.453125" style="2" bestFit="1" customWidth="1"/>
    <col min="8195" max="8195" width="8.81640625" style="2"/>
    <col min="8196" max="8196" width="11.26953125" style="2" bestFit="1" customWidth="1"/>
    <col min="8197" max="8197" width="5.453125" style="2" bestFit="1" customWidth="1"/>
    <col min="8198" max="8201" width="5" style="2" bestFit="1" customWidth="1"/>
    <col min="8202" max="8202" width="7.453125" style="2" bestFit="1" customWidth="1"/>
    <col min="8203" max="8203" width="10.453125" style="2" bestFit="1" customWidth="1"/>
    <col min="8204" max="8204" width="8.81640625" style="2"/>
    <col min="8205" max="8206" width="12.453125" style="2" bestFit="1" customWidth="1"/>
    <col min="8207" max="8207" width="14" style="2" bestFit="1" customWidth="1"/>
    <col min="8208" max="8440" width="8.81640625" style="2"/>
    <col min="8441" max="8441" width="3.81640625" style="2" customWidth="1"/>
    <col min="8442" max="8442" width="8.81640625" style="2"/>
    <col min="8443" max="8443" width="14.453125" style="2" customWidth="1"/>
    <col min="8444" max="8444" width="38.7265625" style="2" customWidth="1"/>
    <col min="8445" max="8449" width="14" style="2" bestFit="1" customWidth="1"/>
    <col min="8450" max="8450" width="10.453125" style="2" bestFit="1" customWidth="1"/>
    <col min="8451" max="8451" width="8.81640625" style="2"/>
    <col min="8452" max="8452" width="11.26953125" style="2" bestFit="1" customWidth="1"/>
    <col min="8453" max="8453" width="5.453125" style="2" bestFit="1" customWidth="1"/>
    <col min="8454" max="8457" width="5" style="2" bestFit="1" customWidth="1"/>
    <col min="8458" max="8458" width="7.453125" style="2" bestFit="1" customWidth="1"/>
    <col min="8459" max="8459" width="10.453125" style="2" bestFit="1" customWidth="1"/>
    <col min="8460" max="8460" width="8.81640625" style="2"/>
    <col min="8461" max="8462" width="12.453125" style="2" bestFit="1" customWidth="1"/>
    <col min="8463" max="8463" width="14" style="2" bestFit="1" customWidth="1"/>
    <col min="8464" max="8696" width="8.81640625" style="2"/>
    <col min="8697" max="8697" width="3.81640625" style="2" customWidth="1"/>
    <col min="8698" max="8698" width="8.81640625" style="2"/>
    <col min="8699" max="8699" width="14.453125" style="2" customWidth="1"/>
    <col min="8700" max="8700" width="38.7265625" style="2" customWidth="1"/>
    <col min="8701" max="8705" width="14" style="2" bestFit="1" customWidth="1"/>
    <col min="8706" max="8706" width="10.453125" style="2" bestFit="1" customWidth="1"/>
    <col min="8707" max="8707" width="8.81640625" style="2"/>
    <col min="8708" max="8708" width="11.26953125" style="2" bestFit="1" customWidth="1"/>
    <col min="8709" max="8709" width="5.453125" style="2" bestFit="1" customWidth="1"/>
    <col min="8710" max="8713" width="5" style="2" bestFit="1" customWidth="1"/>
    <col min="8714" max="8714" width="7.453125" style="2" bestFit="1" customWidth="1"/>
    <col min="8715" max="8715" width="10.453125" style="2" bestFit="1" customWidth="1"/>
    <col min="8716" max="8716" width="8.81640625" style="2"/>
    <col min="8717" max="8718" width="12.453125" style="2" bestFit="1" customWidth="1"/>
    <col min="8719" max="8719" width="14" style="2" bestFit="1" customWidth="1"/>
    <col min="8720" max="8952" width="8.81640625" style="2"/>
    <col min="8953" max="8953" width="3.81640625" style="2" customWidth="1"/>
    <col min="8954" max="8954" width="8.81640625" style="2"/>
    <col min="8955" max="8955" width="14.453125" style="2" customWidth="1"/>
    <col min="8956" max="8956" width="38.7265625" style="2" customWidth="1"/>
    <col min="8957" max="8961" width="14" style="2" bestFit="1" customWidth="1"/>
    <col min="8962" max="8962" width="10.453125" style="2" bestFit="1" customWidth="1"/>
    <col min="8963" max="8963" width="8.81640625" style="2"/>
    <col min="8964" max="8964" width="11.26953125" style="2" bestFit="1" customWidth="1"/>
    <col min="8965" max="8965" width="5.453125" style="2" bestFit="1" customWidth="1"/>
    <col min="8966" max="8969" width="5" style="2" bestFit="1" customWidth="1"/>
    <col min="8970" max="8970" width="7.453125" style="2" bestFit="1" customWidth="1"/>
    <col min="8971" max="8971" width="10.453125" style="2" bestFit="1" customWidth="1"/>
    <col min="8972" max="8972" width="8.81640625" style="2"/>
    <col min="8973" max="8974" width="12.453125" style="2" bestFit="1" customWidth="1"/>
    <col min="8975" max="8975" width="14" style="2" bestFit="1" customWidth="1"/>
    <col min="8976" max="9208" width="8.81640625" style="2"/>
    <col min="9209" max="9209" width="3.81640625" style="2" customWidth="1"/>
    <col min="9210" max="9210" width="8.81640625" style="2"/>
    <col min="9211" max="9211" width="14.453125" style="2" customWidth="1"/>
    <col min="9212" max="9212" width="38.7265625" style="2" customWidth="1"/>
    <col min="9213" max="9217" width="14" style="2" bestFit="1" customWidth="1"/>
    <col min="9218" max="9218" width="10.453125" style="2" bestFit="1" customWidth="1"/>
    <col min="9219" max="9219" width="8.81640625" style="2"/>
    <col min="9220" max="9220" width="11.26953125" style="2" bestFit="1" customWidth="1"/>
    <col min="9221" max="9221" width="5.453125" style="2" bestFit="1" customWidth="1"/>
    <col min="9222" max="9225" width="5" style="2" bestFit="1" customWidth="1"/>
    <col min="9226" max="9226" width="7.453125" style="2" bestFit="1" customWidth="1"/>
    <col min="9227" max="9227" width="10.453125" style="2" bestFit="1" customWidth="1"/>
    <col min="9228" max="9228" width="8.81640625" style="2"/>
    <col min="9229" max="9230" width="12.453125" style="2" bestFit="1" customWidth="1"/>
    <col min="9231" max="9231" width="14" style="2" bestFit="1" customWidth="1"/>
    <col min="9232" max="9464" width="8.81640625" style="2"/>
    <col min="9465" max="9465" width="3.81640625" style="2" customWidth="1"/>
    <col min="9466" max="9466" width="8.81640625" style="2"/>
    <col min="9467" max="9467" width="14.453125" style="2" customWidth="1"/>
    <col min="9468" max="9468" width="38.7265625" style="2" customWidth="1"/>
    <col min="9469" max="9473" width="14" style="2" bestFit="1" customWidth="1"/>
    <col min="9474" max="9474" width="10.453125" style="2" bestFit="1" customWidth="1"/>
    <col min="9475" max="9475" width="8.81640625" style="2"/>
    <col min="9476" max="9476" width="11.26953125" style="2" bestFit="1" customWidth="1"/>
    <col min="9477" max="9477" width="5.453125" style="2" bestFit="1" customWidth="1"/>
    <col min="9478" max="9481" width="5" style="2" bestFit="1" customWidth="1"/>
    <col min="9482" max="9482" width="7.453125" style="2" bestFit="1" customWidth="1"/>
    <col min="9483" max="9483" width="10.453125" style="2" bestFit="1" customWidth="1"/>
    <col min="9484" max="9484" width="8.81640625" style="2"/>
    <col min="9485" max="9486" width="12.453125" style="2" bestFit="1" customWidth="1"/>
    <col min="9487" max="9487" width="14" style="2" bestFit="1" customWidth="1"/>
    <col min="9488" max="9720" width="8.81640625" style="2"/>
    <col min="9721" max="9721" width="3.81640625" style="2" customWidth="1"/>
    <col min="9722" max="9722" width="8.81640625" style="2"/>
    <col min="9723" max="9723" width="14.453125" style="2" customWidth="1"/>
    <col min="9724" max="9724" width="38.7265625" style="2" customWidth="1"/>
    <col min="9725" max="9729" width="14" style="2" bestFit="1" customWidth="1"/>
    <col min="9730" max="9730" width="10.453125" style="2" bestFit="1" customWidth="1"/>
    <col min="9731" max="9731" width="8.81640625" style="2"/>
    <col min="9732" max="9732" width="11.26953125" style="2" bestFit="1" customWidth="1"/>
    <col min="9733" max="9733" width="5.453125" style="2" bestFit="1" customWidth="1"/>
    <col min="9734" max="9737" width="5" style="2" bestFit="1" customWidth="1"/>
    <col min="9738" max="9738" width="7.453125" style="2" bestFit="1" customWidth="1"/>
    <col min="9739" max="9739" width="10.453125" style="2" bestFit="1" customWidth="1"/>
    <col min="9740" max="9740" width="8.81640625" style="2"/>
    <col min="9741" max="9742" width="12.453125" style="2" bestFit="1" customWidth="1"/>
    <col min="9743" max="9743" width="14" style="2" bestFit="1" customWidth="1"/>
    <col min="9744" max="9976" width="8.81640625" style="2"/>
    <col min="9977" max="9977" width="3.81640625" style="2" customWidth="1"/>
    <col min="9978" max="9978" width="8.81640625" style="2"/>
    <col min="9979" max="9979" width="14.453125" style="2" customWidth="1"/>
    <col min="9980" max="9980" width="38.7265625" style="2" customWidth="1"/>
    <col min="9981" max="9985" width="14" style="2" bestFit="1" customWidth="1"/>
    <col min="9986" max="9986" width="10.453125" style="2" bestFit="1" customWidth="1"/>
    <col min="9987" max="9987" width="8.81640625" style="2"/>
    <col min="9988" max="9988" width="11.26953125" style="2" bestFit="1" customWidth="1"/>
    <col min="9989" max="9989" width="5.453125" style="2" bestFit="1" customWidth="1"/>
    <col min="9990" max="9993" width="5" style="2" bestFit="1" customWidth="1"/>
    <col min="9994" max="9994" width="7.453125" style="2" bestFit="1" customWidth="1"/>
    <col min="9995" max="9995" width="10.453125" style="2" bestFit="1" customWidth="1"/>
    <col min="9996" max="9996" width="8.81640625" style="2"/>
    <col min="9997" max="9998" width="12.453125" style="2" bestFit="1" customWidth="1"/>
    <col min="9999" max="9999" width="14" style="2" bestFit="1" customWidth="1"/>
    <col min="10000" max="10232" width="8.81640625" style="2"/>
    <col min="10233" max="10233" width="3.81640625" style="2" customWidth="1"/>
    <col min="10234" max="10234" width="8.81640625" style="2"/>
    <col min="10235" max="10235" width="14.453125" style="2" customWidth="1"/>
    <col min="10236" max="10236" width="38.7265625" style="2" customWidth="1"/>
    <col min="10237" max="10241" width="14" style="2" bestFit="1" customWidth="1"/>
    <col min="10242" max="10242" width="10.453125" style="2" bestFit="1" customWidth="1"/>
    <col min="10243" max="10243" width="8.81640625" style="2"/>
    <col min="10244" max="10244" width="11.26953125" style="2" bestFit="1" customWidth="1"/>
    <col min="10245" max="10245" width="5.453125" style="2" bestFit="1" customWidth="1"/>
    <col min="10246" max="10249" width="5" style="2" bestFit="1" customWidth="1"/>
    <col min="10250" max="10250" width="7.453125" style="2" bestFit="1" customWidth="1"/>
    <col min="10251" max="10251" width="10.453125" style="2" bestFit="1" customWidth="1"/>
    <col min="10252" max="10252" width="8.81640625" style="2"/>
    <col min="10253" max="10254" width="12.453125" style="2" bestFit="1" customWidth="1"/>
    <col min="10255" max="10255" width="14" style="2" bestFit="1" customWidth="1"/>
    <col min="10256" max="10488" width="8.81640625" style="2"/>
    <col min="10489" max="10489" width="3.81640625" style="2" customWidth="1"/>
    <col min="10490" max="10490" width="8.81640625" style="2"/>
    <col min="10491" max="10491" width="14.453125" style="2" customWidth="1"/>
    <col min="10492" max="10492" width="38.7265625" style="2" customWidth="1"/>
    <col min="10493" max="10497" width="14" style="2" bestFit="1" customWidth="1"/>
    <col min="10498" max="10498" width="10.453125" style="2" bestFit="1" customWidth="1"/>
    <col min="10499" max="10499" width="8.81640625" style="2"/>
    <col min="10500" max="10500" width="11.26953125" style="2" bestFit="1" customWidth="1"/>
    <col min="10501" max="10501" width="5.453125" style="2" bestFit="1" customWidth="1"/>
    <col min="10502" max="10505" width="5" style="2" bestFit="1" customWidth="1"/>
    <col min="10506" max="10506" width="7.453125" style="2" bestFit="1" customWidth="1"/>
    <col min="10507" max="10507" width="10.453125" style="2" bestFit="1" customWidth="1"/>
    <col min="10508" max="10508" width="8.81640625" style="2"/>
    <col min="10509" max="10510" width="12.453125" style="2" bestFit="1" customWidth="1"/>
    <col min="10511" max="10511" width="14" style="2" bestFit="1" customWidth="1"/>
    <col min="10512" max="10744" width="8.81640625" style="2"/>
    <col min="10745" max="10745" width="3.81640625" style="2" customWidth="1"/>
    <col min="10746" max="10746" width="8.81640625" style="2"/>
    <col min="10747" max="10747" width="14.453125" style="2" customWidth="1"/>
    <col min="10748" max="10748" width="38.7265625" style="2" customWidth="1"/>
    <col min="10749" max="10753" width="14" style="2" bestFit="1" customWidth="1"/>
    <col min="10754" max="10754" width="10.453125" style="2" bestFit="1" customWidth="1"/>
    <col min="10755" max="10755" width="8.81640625" style="2"/>
    <col min="10756" max="10756" width="11.26953125" style="2" bestFit="1" customWidth="1"/>
    <col min="10757" max="10757" width="5.453125" style="2" bestFit="1" customWidth="1"/>
    <col min="10758" max="10761" width="5" style="2" bestFit="1" customWidth="1"/>
    <col min="10762" max="10762" width="7.453125" style="2" bestFit="1" customWidth="1"/>
    <col min="10763" max="10763" width="10.453125" style="2" bestFit="1" customWidth="1"/>
    <col min="10764" max="10764" width="8.81640625" style="2"/>
    <col min="10765" max="10766" width="12.453125" style="2" bestFit="1" customWidth="1"/>
    <col min="10767" max="10767" width="14" style="2" bestFit="1" customWidth="1"/>
    <col min="10768" max="11000" width="8.81640625" style="2"/>
    <col min="11001" max="11001" width="3.81640625" style="2" customWidth="1"/>
    <col min="11002" max="11002" width="8.81640625" style="2"/>
    <col min="11003" max="11003" width="14.453125" style="2" customWidth="1"/>
    <col min="11004" max="11004" width="38.7265625" style="2" customWidth="1"/>
    <col min="11005" max="11009" width="14" style="2" bestFit="1" customWidth="1"/>
    <col min="11010" max="11010" width="10.453125" style="2" bestFit="1" customWidth="1"/>
    <col min="11011" max="11011" width="8.81640625" style="2"/>
    <col min="11012" max="11012" width="11.26953125" style="2" bestFit="1" customWidth="1"/>
    <col min="11013" max="11013" width="5.453125" style="2" bestFit="1" customWidth="1"/>
    <col min="11014" max="11017" width="5" style="2" bestFit="1" customWidth="1"/>
    <col min="11018" max="11018" width="7.453125" style="2" bestFit="1" customWidth="1"/>
    <col min="11019" max="11019" width="10.453125" style="2" bestFit="1" customWidth="1"/>
    <col min="11020" max="11020" width="8.81640625" style="2"/>
    <col min="11021" max="11022" width="12.453125" style="2" bestFit="1" customWidth="1"/>
    <col min="11023" max="11023" width="14" style="2" bestFit="1" customWidth="1"/>
    <col min="11024" max="11256" width="8.81640625" style="2"/>
    <col min="11257" max="11257" width="3.81640625" style="2" customWidth="1"/>
    <col min="11258" max="11258" width="8.81640625" style="2"/>
    <col min="11259" max="11259" width="14.453125" style="2" customWidth="1"/>
    <col min="11260" max="11260" width="38.7265625" style="2" customWidth="1"/>
    <col min="11261" max="11265" width="14" style="2" bestFit="1" customWidth="1"/>
    <col min="11266" max="11266" width="10.453125" style="2" bestFit="1" customWidth="1"/>
    <col min="11267" max="11267" width="8.81640625" style="2"/>
    <col min="11268" max="11268" width="11.26953125" style="2" bestFit="1" customWidth="1"/>
    <col min="11269" max="11269" width="5.453125" style="2" bestFit="1" customWidth="1"/>
    <col min="11270" max="11273" width="5" style="2" bestFit="1" customWidth="1"/>
    <col min="11274" max="11274" width="7.453125" style="2" bestFit="1" customWidth="1"/>
    <col min="11275" max="11275" width="10.453125" style="2" bestFit="1" customWidth="1"/>
    <col min="11276" max="11276" width="8.81640625" style="2"/>
    <col min="11277" max="11278" width="12.453125" style="2" bestFit="1" customWidth="1"/>
    <col min="11279" max="11279" width="14" style="2" bestFit="1" customWidth="1"/>
    <col min="11280" max="11512" width="8.81640625" style="2"/>
    <col min="11513" max="11513" width="3.81640625" style="2" customWidth="1"/>
    <col min="11514" max="11514" width="8.81640625" style="2"/>
    <col min="11515" max="11515" width="14.453125" style="2" customWidth="1"/>
    <col min="11516" max="11516" width="38.7265625" style="2" customWidth="1"/>
    <col min="11517" max="11521" width="14" style="2" bestFit="1" customWidth="1"/>
    <col min="11522" max="11522" width="10.453125" style="2" bestFit="1" customWidth="1"/>
    <col min="11523" max="11523" width="8.81640625" style="2"/>
    <col min="11524" max="11524" width="11.26953125" style="2" bestFit="1" customWidth="1"/>
    <col min="11525" max="11525" width="5.453125" style="2" bestFit="1" customWidth="1"/>
    <col min="11526" max="11529" width="5" style="2" bestFit="1" customWidth="1"/>
    <col min="11530" max="11530" width="7.453125" style="2" bestFit="1" customWidth="1"/>
    <col min="11531" max="11531" width="10.453125" style="2" bestFit="1" customWidth="1"/>
    <col min="11532" max="11532" width="8.81640625" style="2"/>
    <col min="11533" max="11534" width="12.453125" style="2" bestFit="1" customWidth="1"/>
    <col min="11535" max="11535" width="14" style="2" bestFit="1" customWidth="1"/>
    <col min="11536" max="11768" width="8.81640625" style="2"/>
    <col min="11769" max="11769" width="3.81640625" style="2" customWidth="1"/>
    <col min="11770" max="11770" width="8.81640625" style="2"/>
    <col min="11771" max="11771" width="14.453125" style="2" customWidth="1"/>
    <col min="11772" max="11772" width="38.7265625" style="2" customWidth="1"/>
    <col min="11773" max="11777" width="14" style="2" bestFit="1" customWidth="1"/>
    <col min="11778" max="11778" width="10.453125" style="2" bestFit="1" customWidth="1"/>
    <col min="11779" max="11779" width="8.81640625" style="2"/>
    <col min="11780" max="11780" width="11.26953125" style="2" bestFit="1" customWidth="1"/>
    <col min="11781" max="11781" width="5.453125" style="2" bestFit="1" customWidth="1"/>
    <col min="11782" max="11785" width="5" style="2" bestFit="1" customWidth="1"/>
    <col min="11786" max="11786" width="7.453125" style="2" bestFit="1" customWidth="1"/>
    <col min="11787" max="11787" width="10.453125" style="2" bestFit="1" customWidth="1"/>
    <col min="11788" max="11788" width="8.81640625" style="2"/>
    <col min="11789" max="11790" width="12.453125" style="2" bestFit="1" customWidth="1"/>
    <col min="11791" max="11791" width="14" style="2" bestFit="1" customWidth="1"/>
    <col min="11792" max="12024" width="8.81640625" style="2"/>
    <col min="12025" max="12025" width="3.81640625" style="2" customWidth="1"/>
    <col min="12026" max="12026" width="8.81640625" style="2"/>
    <col min="12027" max="12027" width="14.453125" style="2" customWidth="1"/>
    <col min="12028" max="12028" width="38.7265625" style="2" customWidth="1"/>
    <col min="12029" max="12033" width="14" style="2" bestFit="1" customWidth="1"/>
    <col min="12034" max="12034" width="10.453125" style="2" bestFit="1" customWidth="1"/>
    <col min="12035" max="12035" width="8.81640625" style="2"/>
    <col min="12036" max="12036" width="11.26953125" style="2" bestFit="1" customWidth="1"/>
    <col min="12037" max="12037" width="5.453125" style="2" bestFit="1" customWidth="1"/>
    <col min="12038" max="12041" width="5" style="2" bestFit="1" customWidth="1"/>
    <col min="12042" max="12042" width="7.453125" style="2" bestFit="1" customWidth="1"/>
    <col min="12043" max="12043" width="10.453125" style="2" bestFit="1" customWidth="1"/>
    <col min="12044" max="12044" width="8.81640625" style="2"/>
    <col min="12045" max="12046" width="12.453125" style="2" bestFit="1" customWidth="1"/>
    <col min="12047" max="12047" width="14" style="2" bestFit="1" customWidth="1"/>
    <col min="12048" max="12280" width="8.81640625" style="2"/>
    <col min="12281" max="12281" width="3.81640625" style="2" customWidth="1"/>
    <col min="12282" max="12282" width="8.81640625" style="2"/>
    <col min="12283" max="12283" width="14.453125" style="2" customWidth="1"/>
    <col min="12284" max="12284" width="38.7265625" style="2" customWidth="1"/>
    <col min="12285" max="12289" width="14" style="2" bestFit="1" customWidth="1"/>
    <col min="12290" max="12290" width="10.453125" style="2" bestFit="1" customWidth="1"/>
    <col min="12291" max="12291" width="8.81640625" style="2"/>
    <col min="12292" max="12292" width="11.26953125" style="2" bestFit="1" customWidth="1"/>
    <col min="12293" max="12293" width="5.453125" style="2" bestFit="1" customWidth="1"/>
    <col min="12294" max="12297" width="5" style="2" bestFit="1" customWidth="1"/>
    <col min="12298" max="12298" width="7.453125" style="2" bestFit="1" customWidth="1"/>
    <col min="12299" max="12299" width="10.453125" style="2" bestFit="1" customWidth="1"/>
    <col min="12300" max="12300" width="8.81640625" style="2"/>
    <col min="12301" max="12302" width="12.453125" style="2" bestFit="1" customWidth="1"/>
    <col min="12303" max="12303" width="14" style="2" bestFit="1" customWidth="1"/>
    <col min="12304" max="12536" width="8.81640625" style="2"/>
    <col min="12537" max="12537" width="3.81640625" style="2" customWidth="1"/>
    <col min="12538" max="12538" width="8.81640625" style="2"/>
    <col min="12539" max="12539" width="14.453125" style="2" customWidth="1"/>
    <col min="12540" max="12540" width="38.7265625" style="2" customWidth="1"/>
    <col min="12541" max="12545" width="14" style="2" bestFit="1" customWidth="1"/>
    <col min="12546" max="12546" width="10.453125" style="2" bestFit="1" customWidth="1"/>
    <col min="12547" max="12547" width="8.81640625" style="2"/>
    <col min="12548" max="12548" width="11.26953125" style="2" bestFit="1" customWidth="1"/>
    <col min="12549" max="12549" width="5.453125" style="2" bestFit="1" customWidth="1"/>
    <col min="12550" max="12553" width="5" style="2" bestFit="1" customWidth="1"/>
    <col min="12554" max="12554" width="7.453125" style="2" bestFit="1" customWidth="1"/>
    <col min="12555" max="12555" width="10.453125" style="2" bestFit="1" customWidth="1"/>
    <col min="12556" max="12556" width="8.81640625" style="2"/>
    <col min="12557" max="12558" width="12.453125" style="2" bestFit="1" customWidth="1"/>
    <col min="12559" max="12559" width="14" style="2" bestFit="1" customWidth="1"/>
    <col min="12560" max="12792" width="8.81640625" style="2"/>
    <col min="12793" max="12793" width="3.81640625" style="2" customWidth="1"/>
    <col min="12794" max="12794" width="8.81640625" style="2"/>
    <col min="12795" max="12795" width="14.453125" style="2" customWidth="1"/>
    <col min="12796" max="12796" width="38.7265625" style="2" customWidth="1"/>
    <col min="12797" max="12801" width="14" style="2" bestFit="1" customWidth="1"/>
    <col min="12802" max="12802" width="10.453125" style="2" bestFit="1" customWidth="1"/>
    <col min="12803" max="12803" width="8.81640625" style="2"/>
    <col min="12804" max="12804" width="11.26953125" style="2" bestFit="1" customWidth="1"/>
    <col min="12805" max="12805" width="5.453125" style="2" bestFit="1" customWidth="1"/>
    <col min="12806" max="12809" width="5" style="2" bestFit="1" customWidth="1"/>
    <col min="12810" max="12810" width="7.453125" style="2" bestFit="1" customWidth="1"/>
    <col min="12811" max="12811" width="10.453125" style="2" bestFit="1" customWidth="1"/>
    <col min="12812" max="12812" width="8.81640625" style="2"/>
    <col min="12813" max="12814" width="12.453125" style="2" bestFit="1" customWidth="1"/>
    <col min="12815" max="12815" width="14" style="2" bestFit="1" customWidth="1"/>
    <col min="12816" max="13048" width="8.81640625" style="2"/>
    <col min="13049" max="13049" width="3.81640625" style="2" customWidth="1"/>
    <col min="13050" max="13050" width="8.81640625" style="2"/>
    <col min="13051" max="13051" width="14.453125" style="2" customWidth="1"/>
    <col min="13052" max="13052" width="38.7265625" style="2" customWidth="1"/>
    <col min="13053" max="13057" width="14" style="2" bestFit="1" customWidth="1"/>
    <col min="13058" max="13058" width="10.453125" style="2" bestFit="1" customWidth="1"/>
    <col min="13059" max="13059" width="8.81640625" style="2"/>
    <col min="13060" max="13060" width="11.26953125" style="2" bestFit="1" customWidth="1"/>
    <col min="13061" max="13061" width="5.453125" style="2" bestFit="1" customWidth="1"/>
    <col min="13062" max="13065" width="5" style="2" bestFit="1" customWidth="1"/>
    <col min="13066" max="13066" width="7.453125" style="2" bestFit="1" customWidth="1"/>
    <col min="13067" max="13067" width="10.453125" style="2" bestFit="1" customWidth="1"/>
    <col min="13068" max="13068" width="8.81640625" style="2"/>
    <col min="13069" max="13070" width="12.453125" style="2" bestFit="1" customWidth="1"/>
    <col min="13071" max="13071" width="14" style="2" bestFit="1" customWidth="1"/>
    <col min="13072" max="13304" width="8.81640625" style="2"/>
    <col min="13305" max="13305" width="3.81640625" style="2" customWidth="1"/>
    <col min="13306" max="13306" width="8.81640625" style="2"/>
    <col min="13307" max="13307" width="14.453125" style="2" customWidth="1"/>
    <col min="13308" max="13308" width="38.7265625" style="2" customWidth="1"/>
    <col min="13309" max="13313" width="14" style="2" bestFit="1" customWidth="1"/>
    <col min="13314" max="13314" width="10.453125" style="2" bestFit="1" customWidth="1"/>
    <col min="13315" max="13315" width="8.81640625" style="2"/>
    <col min="13316" max="13316" width="11.26953125" style="2" bestFit="1" customWidth="1"/>
    <col min="13317" max="13317" width="5.453125" style="2" bestFit="1" customWidth="1"/>
    <col min="13318" max="13321" width="5" style="2" bestFit="1" customWidth="1"/>
    <col min="13322" max="13322" width="7.453125" style="2" bestFit="1" customWidth="1"/>
    <col min="13323" max="13323" width="10.453125" style="2" bestFit="1" customWidth="1"/>
    <col min="13324" max="13324" width="8.81640625" style="2"/>
    <col min="13325" max="13326" width="12.453125" style="2" bestFit="1" customWidth="1"/>
    <col min="13327" max="13327" width="14" style="2" bestFit="1" customWidth="1"/>
    <col min="13328" max="13560" width="8.81640625" style="2"/>
    <col min="13561" max="13561" width="3.81640625" style="2" customWidth="1"/>
    <col min="13562" max="13562" width="8.81640625" style="2"/>
    <col min="13563" max="13563" width="14.453125" style="2" customWidth="1"/>
    <col min="13564" max="13564" width="38.7265625" style="2" customWidth="1"/>
    <col min="13565" max="13569" width="14" style="2" bestFit="1" customWidth="1"/>
    <col min="13570" max="13570" width="10.453125" style="2" bestFit="1" customWidth="1"/>
    <col min="13571" max="13571" width="8.81640625" style="2"/>
    <col min="13572" max="13572" width="11.26953125" style="2" bestFit="1" customWidth="1"/>
    <col min="13573" max="13573" width="5.453125" style="2" bestFit="1" customWidth="1"/>
    <col min="13574" max="13577" width="5" style="2" bestFit="1" customWidth="1"/>
    <col min="13578" max="13578" width="7.453125" style="2" bestFit="1" customWidth="1"/>
    <col min="13579" max="13579" width="10.453125" style="2" bestFit="1" customWidth="1"/>
    <col min="13580" max="13580" width="8.81640625" style="2"/>
    <col min="13581" max="13582" width="12.453125" style="2" bestFit="1" customWidth="1"/>
    <col min="13583" max="13583" width="14" style="2" bestFit="1" customWidth="1"/>
    <col min="13584" max="13816" width="8.81640625" style="2"/>
    <col min="13817" max="13817" width="3.81640625" style="2" customWidth="1"/>
    <col min="13818" max="13818" width="8.81640625" style="2"/>
    <col min="13819" max="13819" width="14.453125" style="2" customWidth="1"/>
    <col min="13820" max="13820" width="38.7265625" style="2" customWidth="1"/>
    <col min="13821" max="13825" width="14" style="2" bestFit="1" customWidth="1"/>
    <col min="13826" max="13826" width="10.453125" style="2" bestFit="1" customWidth="1"/>
    <col min="13827" max="13827" width="8.81640625" style="2"/>
    <col min="13828" max="13828" width="11.26953125" style="2" bestFit="1" customWidth="1"/>
    <col min="13829" max="13829" width="5.453125" style="2" bestFit="1" customWidth="1"/>
    <col min="13830" max="13833" width="5" style="2" bestFit="1" customWidth="1"/>
    <col min="13834" max="13834" width="7.453125" style="2" bestFit="1" customWidth="1"/>
    <col min="13835" max="13835" width="10.453125" style="2" bestFit="1" customWidth="1"/>
    <col min="13836" max="13836" width="8.81640625" style="2"/>
    <col min="13837" max="13838" width="12.453125" style="2" bestFit="1" customWidth="1"/>
    <col min="13839" max="13839" width="14" style="2" bestFit="1" customWidth="1"/>
    <col min="13840" max="14072" width="8.81640625" style="2"/>
    <col min="14073" max="14073" width="3.81640625" style="2" customWidth="1"/>
    <col min="14074" max="14074" width="8.81640625" style="2"/>
    <col min="14075" max="14075" width="14.453125" style="2" customWidth="1"/>
    <col min="14076" max="14076" width="38.7265625" style="2" customWidth="1"/>
    <col min="14077" max="14081" width="14" style="2" bestFit="1" customWidth="1"/>
    <col min="14082" max="14082" width="10.453125" style="2" bestFit="1" customWidth="1"/>
    <col min="14083" max="14083" width="8.81640625" style="2"/>
    <col min="14084" max="14084" width="11.26953125" style="2" bestFit="1" customWidth="1"/>
    <col min="14085" max="14085" width="5.453125" style="2" bestFit="1" customWidth="1"/>
    <col min="14086" max="14089" width="5" style="2" bestFit="1" customWidth="1"/>
    <col min="14090" max="14090" width="7.453125" style="2" bestFit="1" customWidth="1"/>
    <col min="14091" max="14091" width="10.453125" style="2" bestFit="1" customWidth="1"/>
    <col min="14092" max="14092" width="8.81640625" style="2"/>
    <col min="14093" max="14094" width="12.453125" style="2" bestFit="1" customWidth="1"/>
    <col min="14095" max="14095" width="14" style="2" bestFit="1" customWidth="1"/>
    <col min="14096" max="14328" width="8.81640625" style="2"/>
    <col min="14329" max="14329" width="3.81640625" style="2" customWidth="1"/>
    <col min="14330" max="14330" width="8.81640625" style="2"/>
    <col min="14331" max="14331" width="14.453125" style="2" customWidth="1"/>
    <col min="14332" max="14332" width="38.7265625" style="2" customWidth="1"/>
    <col min="14333" max="14337" width="14" style="2" bestFit="1" customWidth="1"/>
    <col min="14338" max="14338" width="10.453125" style="2" bestFit="1" customWidth="1"/>
    <col min="14339" max="14339" width="8.81640625" style="2"/>
    <col min="14340" max="14340" width="11.26953125" style="2" bestFit="1" customWidth="1"/>
    <col min="14341" max="14341" width="5.453125" style="2" bestFit="1" customWidth="1"/>
    <col min="14342" max="14345" width="5" style="2" bestFit="1" customWidth="1"/>
    <col min="14346" max="14346" width="7.453125" style="2" bestFit="1" customWidth="1"/>
    <col min="14347" max="14347" width="10.453125" style="2" bestFit="1" customWidth="1"/>
    <col min="14348" max="14348" width="8.81640625" style="2"/>
    <col min="14349" max="14350" width="12.453125" style="2" bestFit="1" customWidth="1"/>
    <col min="14351" max="14351" width="14" style="2" bestFit="1" customWidth="1"/>
    <col min="14352" max="14584" width="8.81640625" style="2"/>
    <col min="14585" max="14585" width="3.81640625" style="2" customWidth="1"/>
    <col min="14586" max="14586" width="8.81640625" style="2"/>
    <col min="14587" max="14587" width="14.453125" style="2" customWidth="1"/>
    <col min="14588" max="14588" width="38.7265625" style="2" customWidth="1"/>
    <col min="14589" max="14593" width="14" style="2" bestFit="1" customWidth="1"/>
    <col min="14594" max="14594" width="10.453125" style="2" bestFit="1" customWidth="1"/>
    <col min="14595" max="14595" width="8.81640625" style="2"/>
    <col min="14596" max="14596" width="11.26953125" style="2" bestFit="1" customWidth="1"/>
    <col min="14597" max="14597" width="5.453125" style="2" bestFit="1" customWidth="1"/>
    <col min="14598" max="14601" width="5" style="2" bestFit="1" customWidth="1"/>
    <col min="14602" max="14602" width="7.453125" style="2" bestFit="1" customWidth="1"/>
    <col min="14603" max="14603" width="10.453125" style="2" bestFit="1" customWidth="1"/>
    <col min="14604" max="14604" width="8.81640625" style="2"/>
    <col min="14605" max="14606" width="12.453125" style="2" bestFit="1" customWidth="1"/>
    <col min="14607" max="14607" width="14" style="2" bestFit="1" customWidth="1"/>
    <col min="14608" max="14840" width="8.81640625" style="2"/>
    <col min="14841" max="14841" width="3.81640625" style="2" customWidth="1"/>
    <col min="14842" max="14842" width="8.81640625" style="2"/>
    <col min="14843" max="14843" width="14.453125" style="2" customWidth="1"/>
    <col min="14844" max="14844" width="38.7265625" style="2" customWidth="1"/>
    <col min="14845" max="14849" width="14" style="2" bestFit="1" customWidth="1"/>
    <col min="14850" max="14850" width="10.453125" style="2" bestFit="1" customWidth="1"/>
    <col min="14851" max="14851" width="8.81640625" style="2"/>
    <col min="14852" max="14852" width="11.26953125" style="2" bestFit="1" customWidth="1"/>
    <col min="14853" max="14853" width="5.453125" style="2" bestFit="1" customWidth="1"/>
    <col min="14854" max="14857" width="5" style="2" bestFit="1" customWidth="1"/>
    <col min="14858" max="14858" width="7.453125" style="2" bestFit="1" customWidth="1"/>
    <col min="14859" max="14859" width="10.453125" style="2" bestFit="1" customWidth="1"/>
    <col min="14860" max="14860" width="8.81640625" style="2"/>
    <col min="14861" max="14862" width="12.453125" style="2" bestFit="1" customWidth="1"/>
    <col min="14863" max="14863" width="14" style="2" bestFit="1" customWidth="1"/>
    <col min="14864" max="15096" width="8.81640625" style="2"/>
    <col min="15097" max="15097" width="3.81640625" style="2" customWidth="1"/>
    <col min="15098" max="15098" width="8.81640625" style="2"/>
    <col min="15099" max="15099" width="14.453125" style="2" customWidth="1"/>
    <col min="15100" max="15100" width="38.7265625" style="2" customWidth="1"/>
    <col min="15101" max="15105" width="14" style="2" bestFit="1" customWidth="1"/>
    <col min="15106" max="15106" width="10.453125" style="2" bestFit="1" customWidth="1"/>
    <col min="15107" max="15107" width="8.81640625" style="2"/>
    <col min="15108" max="15108" width="11.26953125" style="2" bestFit="1" customWidth="1"/>
    <col min="15109" max="15109" width="5.453125" style="2" bestFit="1" customWidth="1"/>
    <col min="15110" max="15113" width="5" style="2" bestFit="1" customWidth="1"/>
    <col min="15114" max="15114" width="7.453125" style="2" bestFit="1" customWidth="1"/>
    <col min="15115" max="15115" width="10.453125" style="2" bestFit="1" customWidth="1"/>
    <col min="15116" max="15116" width="8.81640625" style="2"/>
    <col min="15117" max="15118" width="12.453125" style="2" bestFit="1" customWidth="1"/>
    <col min="15119" max="15119" width="14" style="2" bestFit="1" customWidth="1"/>
    <col min="15120" max="15352" width="8.81640625" style="2"/>
    <col min="15353" max="15353" width="3.81640625" style="2" customWidth="1"/>
    <col min="15354" max="15354" width="8.81640625" style="2"/>
    <col min="15355" max="15355" width="14.453125" style="2" customWidth="1"/>
    <col min="15356" max="15356" width="38.7265625" style="2" customWidth="1"/>
    <col min="15357" max="15361" width="14" style="2" bestFit="1" customWidth="1"/>
    <col min="15362" max="15362" width="10.453125" style="2" bestFit="1" customWidth="1"/>
    <col min="15363" max="15363" width="8.81640625" style="2"/>
    <col min="15364" max="15364" width="11.26953125" style="2" bestFit="1" customWidth="1"/>
    <col min="15365" max="15365" width="5.453125" style="2" bestFit="1" customWidth="1"/>
    <col min="15366" max="15369" width="5" style="2" bestFit="1" customWidth="1"/>
    <col min="15370" max="15370" width="7.453125" style="2" bestFit="1" customWidth="1"/>
    <col min="15371" max="15371" width="10.453125" style="2" bestFit="1" customWidth="1"/>
    <col min="15372" max="15372" width="8.81640625" style="2"/>
    <col min="15373" max="15374" width="12.453125" style="2" bestFit="1" customWidth="1"/>
    <col min="15375" max="15375" width="14" style="2" bestFit="1" customWidth="1"/>
    <col min="15376" max="15608" width="8.81640625" style="2"/>
    <col min="15609" max="15609" width="3.81640625" style="2" customWidth="1"/>
    <col min="15610" max="15610" width="8.81640625" style="2"/>
    <col min="15611" max="15611" width="14.453125" style="2" customWidth="1"/>
    <col min="15612" max="15612" width="38.7265625" style="2" customWidth="1"/>
    <col min="15613" max="15617" width="14" style="2" bestFit="1" customWidth="1"/>
    <col min="15618" max="15618" width="10.453125" style="2" bestFit="1" customWidth="1"/>
    <col min="15619" max="15619" width="8.81640625" style="2"/>
    <col min="15620" max="15620" width="11.26953125" style="2" bestFit="1" customWidth="1"/>
    <col min="15621" max="15621" width="5.453125" style="2" bestFit="1" customWidth="1"/>
    <col min="15622" max="15625" width="5" style="2" bestFit="1" customWidth="1"/>
    <col min="15626" max="15626" width="7.453125" style="2" bestFit="1" customWidth="1"/>
    <col min="15627" max="15627" width="10.453125" style="2" bestFit="1" customWidth="1"/>
    <col min="15628" max="15628" width="8.81640625" style="2"/>
    <col min="15629" max="15630" width="12.453125" style="2" bestFit="1" customWidth="1"/>
    <col min="15631" max="15631" width="14" style="2" bestFit="1" customWidth="1"/>
    <col min="15632" max="15864" width="8.81640625" style="2"/>
    <col min="15865" max="15865" width="3.81640625" style="2" customWidth="1"/>
    <col min="15866" max="15866" width="8.81640625" style="2"/>
    <col min="15867" max="15867" width="14.453125" style="2" customWidth="1"/>
    <col min="15868" max="15868" width="38.7265625" style="2" customWidth="1"/>
    <col min="15869" max="15873" width="14" style="2" bestFit="1" customWidth="1"/>
    <col min="15874" max="15874" width="10.453125" style="2" bestFit="1" customWidth="1"/>
    <col min="15875" max="15875" width="8.81640625" style="2"/>
    <col min="15876" max="15876" width="11.26953125" style="2" bestFit="1" customWidth="1"/>
    <col min="15877" max="15877" width="5.453125" style="2" bestFit="1" customWidth="1"/>
    <col min="15878" max="15881" width="5" style="2" bestFit="1" customWidth="1"/>
    <col min="15882" max="15882" width="7.453125" style="2" bestFit="1" customWidth="1"/>
    <col min="15883" max="15883" width="10.453125" style="2" bestFit="1" customWidth="1"/>
    <col min="15884" max="15884" width="8.81640625" style="2"/>
    <col min="15885" max="15886" width="12.453125" style="2" bestFit="1" customWidth="1"/>
    <col min="15887" max="15887" width="14" style="2" bestFit="1" customWidth="1"/>
    <col min="15888" max="16120" width="8.81640625" style="2"/>
    <col min="16121" max="16121" width="3.81640625" style="2" customWidth="1"/>
    <col min="16122" max="16122" width="8.81640625" style="2"/>
    <col min="16123" max="16123" width="14.453125" style="2" customWidth="1"/>
    <col min="16124" max="16124" width="38.7265625" style="2" customWidth="1"/>
    <col min="16125" max="16129" width="14" style="2" bestFit="1" customWidth="1"/>
    <col min="16130" max="16130" width="10.453125" style="2" bestFit="1" customWidth="1"/>
    <col min="16131" max="16131" width="8.81640625" style="2"/>
    <col min="16132" max="16132" width="11.26953125" style="2" bestFit="1" customWidth="1"/>
    <col min="16133" max="16133" width="5.453125" style="2" bestFit="1" customWidth="1"/>
    <col min="16134" max="16137" width="5" style="2" bestFit="1" customWidth="1"/>
    <col min="16138" max="16138" width="7.453125" style="2" bestFit="1" customWidth="1"/>
    <col min="16139" max="16139" width="10.453125" style="2" bestFit="1" customWidth="1"/>
    <col min="16140" max="16140" width="8.81640625" style="2"/>
    <col min="16141" max="16142" width="12.453125" style="2" bestFit="1" customWidth="1"/>
    <col min="16143" max="16143" width="14" style="2" bestFit="1" customWidth="1"/>
    <col min="16144" max="16384" width="8.81640625" style="2"/>
  </cols>
  <sheetData>
    <row r="1" spans="1:25">
      <c r="E1" s="34" t="s">
        <v>272</v>
      </c>
      <c r="F1" s="20"/>
      <c r="G1" s="20"/>
      <c r="H1" s="20"/>
      <c r="I1" s="20"/>
      <c r="J1" s="20"/>
    </row>
    <row r="2" spans="1:25">
      <c r="A2" s="1"/>
      <c r="E2" s="34" t="s">
        <v>273</v>
      </c>
      <c r="G2" s="290">
        <v>44927</v>
      </c>
      <c r="H2" s="291" t="s">
        <v>274</v>
      </c>
      <c r="I2" s="290">
        <v>46752</v>
      </c>
      <c r="J2" s="20"/>
    </row>
    <row r="3" spans="1:25" ht="6.5" customHeight="1" thickBot="1">
      <c r="A3" s="1"/>
      <c r="G3" s="289"/>
      <c r="H3" s="81"/>
      <c r="I3" s="289"/>
    </row>
    <row r="4" spans="1:25" ht="25.5" customHeight="1" thickBot="1">
      <c r="E4" s="402" t="s">
        <v>199</v>
      </c>
      <c r="F4" s="403"/>
      <c r="G4" s="403"/>
      <c r="H4" s="403"/>
      <c r="I4" s="403"/>
      <c r="J4" s="404"/>
      <c r="U4" s="81"/>
      <c r="V4" s="81"/>
    </row>
    <row r="5" spans="1:25" ht="15" thickBot="1">
      <c r="E5" s="4" t="s">
        <v>41</v>
      </c>
      <c r="F5" s="5" t="s">
        <v>40</v>
      </c>
      <c r="G5" s="5" t="s">
        <v>39</v>
      </c>
      <c r="H5" s="5" t="s">
        <v>38</v>
      </c>
      <c r="I5" s="5" t="s">
        <v>37</v>
      </c>
      <c r="J5" s="6" t="s">
        <v>49</v>
      </c>
      <c r="L5" s="302" t="s">
        <v>163</v>
      </c>
      <c r="M5" s="92" t="s">
        <v>118</v>
      </c>
      <c r="N5" s="7" t="s">
        <v>36</v>
      </c>
      <c r="O5" s="7" t="s">
        <v>35</v>
      </c>
      <c r="P5" s="7" t="s">
        <v>34</v>
      </c>
      <c r="Q5" s="7" t="s">
        <v>33</v>
      </c>
      <c r="R5" s="7" t="s">
        <v>32</v>
      </c>
      <c r="S5" s="8" t="s">
        <v>31</v>
      </c>
      <c r="U5" s="81" t="s">
        <v>75</v>
      </c>
      <c r="V5" s="81"/>
    </row>
    <row r="6" spans="1:25">
      <c r="A6" s="9" t="s">
        <v>30</v>
      </c>
      <c r="B6" s="10" t="s">
        <v>42</v>
      </c>
      <c r="C6" s="10"/>
      <c r="D6" s="10"/>
      <c r="E6" s="11"/>
      <c r="F6" s="11"/>
      <c r="G6" s="12"/>
      <c r="H6" s="12"/>
      <c r="I6" s="12"/>
      <c r="J6" s="13"/>
      <c r="L6" s="87" t="s">
        <v>275</v>
      </c>
      <c r="M6" s="299" t="s">
        <v>276</v>
      </c>
      <c r="N6" s="15"/>
      <c r="O6" s="15"/>
      <c r="P6" s="15"/>
      <c r="Q6" s="15"/>
      <c r="R6" s="15"/>
      <c r="S6" s="16"/>
    </row>
    <row r="7" spans="1:25">
      <c r="A7" s="17"/>
      <c r="B7" s="298" t="s">
        <v>326</v>
      </c>
      <c r="C7" s="184" t="s">
        <v>190</v>
      </c>
      <c r="D7" s="26" t="s">
        <v>165</v>
      </c>
      <c r="E7" s="38">
        <f>$M7*N7</f>
        <v>21807.184618333333</v>
      </c>
      <c r="F7" s="38">
        <f>$M7*O7*$S$7</f>
        <v>45795.0876985</v>
      </c>
      <c r="G7" s="38">
        <f>$M7*P7*$S$7^2</f>
        <v>48084.842083424999</v>
      </c>
      <c r="H7" s="38">
        <f>$M7*Q7*$S$7^3</f>
        <v>50489.084187596251</v>
      </c>
      <c r="I7" s="38">
        <f>$M7*R7*$S$7^4</f>
        <v>53013.538396976059</v>
      </c>
      <c r="J7" s="19">
        <f t="shared" ref="J7" si="0">SUM(E7:I7)</f>
        <v>219189.73698483064</v>
      </c>
      <c r="L7" s="90">
        <v>261686.21541999999</v>
      </c>
      <c r="M7" s="94">
        <f>+L7/12</f>
        <v>21807.184618333333</v>
      </c>
      <c r="N7" s="75">
        <v>1</v>
      </c>
      <c r="O7" s="75">
        <v>2</v>
      </c>
      <c r="P7" s="75">
        <v>2</v>
      </c>
      <c r="Q7" s="75">
        <v>2</v>
      </c>
      <c r="R7" s="75">
        <v>2</v>
      </c>
      <c r="S7" s="325">
        <v>1.05</v>
      </c>
      <c r="U7" s="153">
        <f>+E7/$L$7</f>
        <v>8.3333333333333329E-2</v>
      </c>
      <c r="V7" s="153">
        <f t="shared" ref="V7:Y7" si="1">+F7/$L$7</f>
        <v>0.17499999999999999</v>
      </c>
      <c r="W7" s="153">
        <f t="shared" si="1"/>
        <v>0.18375</v>
      </c>
      <c r="X7" s="153">
        <f t="shared" si="1"/>
        <v>0.19293750000000001</v>
      </c>
      <c r="Y7" s="153">
        <f t="shared" si="1"/>
        <v>0.20258437499999998</v>
      </c>
    </row>
    <row r="8" spans="1:25">
      <c r="A8" s="17"/>
      <c r="B8" s="297" t="s">
        <v>192</v>
      </c>
      <c r="C8" s="291" t="s">
        <v>191</v>
      </c>
      <c r="D8" s="20" t="s">
        <v>79</v>
      </c>
      <c r="E8" s="38">
        <f t="shared" ref="E8:E11" si="2">$M8*N8</f>
        <v>0</v>
      </c>
      <c r="F8" s="38">
        <f t="shared" ref="F8:F11" si="3">$M8*O8*$S$7</f>
        <v>0</v>
      </c>
      <c r="G8" s="38">
        <f t="shared" ref="G8:G11" si="4">$M8*P8*$S$7^2</f>
        <v>0</v>
      </c>
      <c r="H8" s="38">
        <f t="shared" ref="H8:H11" si="5">$M8*Q8*$S$7^3</f>
        <v>0</v>
      </c>
      <c r="I8" s="38">
        <f t="shared" ref="I8:I11" si="6">$M8*R8*$S$7^4</f>
        <v>0</v>
      </c>
      <c r="J8" s="19">
        <f t="shared" ref="J8:J11" si="7">SUM(E8:I8)</f>
        <v>0</v>
      </c>
      <c r="L8" s="90"/>
      <c r="M8" s="94">
        <v>0</v>
      </c>
      <c r="N8" s="75">
        <v>0</v>
      </c>
      <c r="O8" s="75">
        <v>0</v>
      </c>
      <c r="P8" s="75">
        <v>1</v>
      </c>
      <c r="Q8" s="75">
        <v>3</v>
      </c>
      <c r="R8" s="75">
        <v>0</v>
      </c>
      <c r="S8" s="16"/>
    </row>
    <row r="9" spans="1:25" hidden="1">
      <c r="A9" s="17"/>
      <c r="B9" s="297" t="s">
        <v>192</v>
      </c>
      <c r="C9" s="291" t="s">
        <v>191</v>
      </c>
      <c r="D9" s="20" t="s">
        <v>79</v>
      </c>
      <c r="E9" s="38">
        <f t="shared" si="2"/>
        <v>0</v>
      </c>
      <c r="F9" s="38">
        <f t="shared" si="3"/>
        <v>0</v>
      </c>
      <c r="G9" s="38">
        <f t="shared" si="4"/>
        <v>0</v>
      </c>
      <c r="H9" s="38">
        <f t="shared" si="5"/>
        <v>0</v>
      </c>
      <c r="I9" s="38">
        <f t="shared" si="6"/>
        <v>0</v>
      </c>
      <c r="J9" s="19">
        <f t="shared" si="7"/>
        <v>0</v>
      </c>
      <c r="L9" s="90"/>
      <c r="M9" s="94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16"/>
    </row>
    <row r="10" spans="1:25" hidden="1">
      <c r="A10" s="17"/>
      <c r="B10" s="297" t="s">
        <v>192</v>
      </c>
      <c r="C10" s="291" t="s">
        <v>191</v>
      </c>
      <c r="D10" s="20" t="s">
        <v>79</v>
      </c>
      <c r="E10" s="38">
        <f t="shared" si="2"/>
        <v>0</v>
      </c>
      <c r="F10" s="38">
        <f t="shared" si="3"/>
        <v>0</v>
      </c>
      <c r="G10" s="38">
        <f t="shared" si="4"/>
        <v>0</v>
      </c>
      <c r="H10" s="38">
        <f t="shared" si="5"/>
        <v>0</v>
      </c>
      <c r="I10" s="38">
        <f t="shared" si="6"/>
        <v>0</v>
      </c>
      <c r="J10" s="19">
        <f t="shared" si="7"/>
        <v>0</v>
      </c>
      <c r="L10" s="90"/>
      <c r="M10" s="99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16"/>
    </row>
    <row r="11" spans="1:25" hidden="1">
      <c r="A11" s="17"/>
      <c r="B11" s="297" t="s">
        <v>192</v>
      </c>
      <c r="C11" s="291" t="s">
        <v>281</v>
      </c>
      <c r="D11" s="20" t="s">
        <v>79</v>
      </c>
      <c r="E11" s="38">
        <f t="shared" si="2"/>
        <v>0</v>
      </c>
      <c r="F11" s="38">
        <f t="shared" si="3"/>
        <v>0</v>
      </c>
      <c r="G11" s="38">
        <f t="shared" si="4"/>
        <v>0</v>
      </c>
      <c r="H11" s="38">
        <f t="shared" si="5"/>
        <v>0</v>
      </c>
      <c r="I11" s="38">
        <f t="shared" si="6"/>
        <v>0</v>
      </c>
      <c r="J11" s="19">
        <f t="shared" si="7"/>
        <v>0</v>
      </c>
      <c r="L11" s="90"/>
      <c r="M11" s="94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16"/>
    </row>
    <row r="12" spans="1:25">
      <c r="A12" s="17"/>
      <c r="B12" s="21" t="s">
        <v>164</v>
      </c>
      <c r="C12" s="18"/>
      <c r="D12" s="18"/>
      <c r="E12" s="22">
        <f>SUM(E7:E11)</f>
        <v>21807.184618333333</v>
      </c>
      <c r="F12" s="22">
        <f t="shared" ref="F12:I12" si="8">SUM(F7:F11)</f>
        <v>45795.0876985</v>
      </c>
      <c r="G12" s="22">
        <f t="shared" si="8"/>
        <v>48084.842083424999</v>
      </c>
      <c r="H12" s="22">
        <f t="shared" si="8"/>
        <v>50489.084187596251</v>
      </c>
      <c r="I12" s="22">
        <f t="shared" si="8"/>
        <v>53013.538396976059</v>
      </c>
      <c r="J12" s="19">
        <f t="shared" ref="J12:J65" si="9">SUM(E12:I12)</f>
        <v>219189.73698483064</v>
      </c>
      <c r="L12" s="14"/>
      <c r="M12" s="88"/>
      <c r="N12" s="187"/>
      <c r="O12" s="187"/>
      <c r="P12" s="187"/>
      <c r="Q12" s="187"/>
      <c r="R12" s="187"/>
      <c r="S12" s="16"/>
    </row>
    <row r="13" spans="1:25">
      <c r="A13" s="23" t="s">
        <v>29</v>
      </c>
      <c r="B13" s="24" t="s">
        <v>83</v>
      </c>
      <c r="C13" s="24"/>
      <c r="D13" s="24"/>
      <c r="E13" s="25"/>
      <c r="F13" s="25"/>
      <c r="G13" s="25"/>
      <c r="H13" s="25"/>
      <c r="I13" s="25"/>
      <c r="J13" s="19"/>
      <c r="L13" s="14"/>
      <c r="M13" s="101"/>
      <c r="N13" s="187"/>
      <c r="O13" s="187"/>
      <c r="P13" s="187"/>
      <c r="Q13" s="187"/>
      <c r="R13" s="187"/>
      <c r="S13" s="16"/>
    </row>
    <row r="14" spans="1:25">
      <c r="A14" s="17"/>
      <c r="B14" s="21" t="s">
        <v>51</v>
      </c>
      <c r="C14" s="26"/>
      <c r="D14" s="26"/>
      <c r="E14" s="38">
        <f t="shared" ref="E14:E21" si="10">$M14*N14</f>
        <v>0</v>
      </c>
      <c r="F14" s="38">
        <f t="shared" ref="F14:F21" si="11">$M14*O14*$S$7</f>
        <v>0</v>
      </c>
      <c r="G14" s="38">
        <f t="shared" ref="G14:G21" si="12">$M14*P14*$S$7^2</f>
        <v>0</v>
      </c>
      <c r="H14" s="38">
        <f t="shared" ref="H14:H21" si="13">$M14*Q14*$S$7^3</f>
        <v>0</v>
      </c>
      <c r="I14" s="38">
        <f t="shared" ref="I14:I21" si="14">$M14*R14*$S$7^4</f>
        <v>0</v>
      </c>
      <c r="J14" s="19">
        <f t="shared" si="9"/>
        <v>0</v>
      </c>
      <c r="L14" s="91"/>
      <c r="M14" s="100">
        <v>5100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16"/>
    </row>
    <row r="15" spans="1:25" ht="15.75" customHeight="1">
      <c r="A15" s="17"/>
      <c r="B15" s="21" t="s">
        <v>50</v>
      </c>
      <c r="C15" s="18"/>
      <c r="D15" s="18"/>
      <c r="E15" s="38">
        <f t="shared" si="10"/>
        <v>0</v>
      </c>
      <c r="F15" s="38">
        <f t="shared" si="11"/>
        <v>0</v>
      </c>
      <c r="G15" s="38">
        <f t="shared" si="12"/>
        <v>0</v>
      </c>
      <c r="H15" s="38">
        <f t="shared" si="13"/>
        <v>0</v>
      </c>
      <c r="I15" s="38">
        <f t="shared" si="14"/>
        <v>0</v>
      </c>
      <c r="J15" s="19">
        <f t="shared" si="9"/>
        <v>0</v>
      </c>
      <c r="L15" s="91"/>
      <c r="M15" s="95">
        <v>5000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16"/>
    </row>
    <row r="16" spans="1:25">
      <c r="A16" s="17"/>
      <c r="B16" s="21" t="s">
        <v>277</v>
      </c>
      <c r="C16" s="18"/>
      <c r="D16" s="18"/>
      <c r="E16" s="38">
        <f t="shared" si="10"/>
        <v>40382</v>
      </c>
      <c r="F16" s="38">
        <f t="shared" si="11"/>
        <v>42401.1</v>
      </c>
      <c r="G16" s="38">
        <f t="shared" si="12"/>
        <v>44521.154999999999</v>
      </c>
      <c r="H16" s="38">
        <f t="shared" si="13"/>
        <v>46747.212750000006</v>
      </c>
      <c r="I16" s="38">
        <f t="shared" si="14"/>
        <v>49084.573387500001</v>
      </c>
      <c r="J16" s="19">
        <f t="shared" si="9"/>
        <v>223136.04113750003</v>
      </c>
      <c r="L16" s="91">
        <v>40382</v>
      </c>
      <c r="M16" s="95">
        <f>+L16/12</f>
        <v>3365.1666666666665</v>
      </c>
      <c r="N16" s="75">
        <v>12</v>
      </c>
      <c r="O16" s="75">
        <v>12</v>
      </c>
      <c r="P16" s="75">
        <v>12</v>
      </c>
      <c r="Q16" s="75">
        <v>12</v>
      </c>
      <c r="R16" s="75">
        <v>12</v>
      </c>
      <c r="S16" s="16"/>
      <c r="U16" s="28" t="s">
        <v>178</v>
      </c>
    </row>
    <row r="17" spans="1:21">
      <c r="A17" s="17"/>
      <c r="B17" s="21" t="s">
        <v>278</v>
      </c>
      <c r="C17" s="18"/>
      <c r="D17" s="18"/>
      <c r="E17" s="38">
        <f t="shared" si="10"/>
        <v>41253</v>
      </c>
      <c r="F17" s="38">
        <f t="shared" si="11"/>
        <v>43315.65</v>
      </c>
      <c r="G17" s="38">
        <f t="shared" si="12"/>
        <v>45481.432500000003</v>
      </c>
      <c r="H17" s="38">
        <f t="shared" si="13"/>
        <v>47755.504125000007</v>
      </c>
      <c r="I17" s="38">
        <f t="shared" si="14"/>
        <v>50143.27933125</v>
      </c>
      <c r="J17" s="19">
        <f t="shared" si="9"/>
        <v>227948.86595625</v>
      </c>
      <c r="L17" s="91">
        <v>41253</v>
      </c>
      <c r="M17" s="95">
        <f t="shared" ref="M17:M18" si="15">+L17/12</f>
        <v>3437.75</v>
      </c>
      <c r="N17" s="75">
        <v>12</v>
      </c>
      <c r="O17" s="75">
        <v>12</v>
      </c>
      <c r="P17" s="75">
        <v>12</v>
      </c>
      <c r="Q17" s="75">
        <v>12</v>
      </c>
      <c r="R17" s="75">
        <v>12</v>
      </c>
      <c r="S17" s="16"/>
      <c r="U17" s="28" t="s">
        <v>96</v>
      </c>
    </row>
    <row r="18" spans="1:21">
      <c r="A18" s="17"/>
      <c r="B18" s="21" t="s">
        <v>279</v>
      </c>
      <c r="C18" s="18"/>
      <c r="D18" s="18"/>
      <c r="E18" s="38">
        <f t="shared" si="10"/>
        <v>42124</v>
      </c>
      <c r="F18" s="38">
        <f t="shared" si="11"/>
        <v>44230.200000000004</v>
      </c>
      <c r="G18" s="38">
        <f t="shared" si="12"/>
        <v>46441.71</v>
      </c>
      <c r="H18" s="38">
        <f t="shared" si="13"/>
        <v>48763.795500000007</v>
      </c>
      <c r="I18" s="38">
        <f t="shared" si="14"/>
        <v>51201.985274999999</v>
      </c>
      <c r="J18" s="19">
        <f t="shared" si="9"/>
        <v>232761.69077500002</v>
      </c>
      <c r="L18" s="91">
        <v>42124</v>
      </c>
      <c r="M18" s="95">
        <f t="shared" si="15"/>
        <v>3510.3333333333335</v>
      </c>
      <c r="N18" s="75">
        <v>12</v>
      </c>
      <c r="O18" s="75">
        <v>12</v>
      </c>
      <c r="P18" s="75">
        <v>12</v>
      </c>
      <c r="Q18" s="75">
        <v>12</v>
      </c>
      <c r="R18" s="75">
        <v>12</v>
      </c>
      <c r="S18" s="16"/>
      <c r="U18" s="28" t="s">
        <v>179</v>
      </c>
    </row>
    <row r="19" spans="1:21">
      <c r="A19" s="17"/>
      <c r="B19" s="21" t="s">
        <v>28</v>
      </c>
      <c r="C19" s="18"/>
      <c r="D19" s="18"/>
      <c r="E19" s="38">
        <f t="shared" si="10"/>
        <v>9270</v>
      </c>
      <c r="F19" s="38">
        <f t="shared" si="11"/>
        <v>9733.5</v>
      </c>
      <c r="G19" s="38">
        <f t="shared" si="12"/>
        <v>10220.175000000001</v>
      </c>
      <c r="H19" s="38">
        <f t="shared" si="13"/>
        <v>10731.183750000002</v>
      </c>
      <c r="I19" s="38">
        <f t="shared" si="14"/>
        <v>11267.742937499999</v>
      </c>
      <c r="J19" s="19">
        <f t="shared" si="9"/>
        <v>51222.601687500006</v>
      </c>
      <c r="L19" s="91"/>
      <c r="M19" s="98">
        <v>15.45</v>
      </c>
      <c r="N19" s="75">
        <f>10*4*9+20*4*3</f>
        <v>600</v>
      </c>
      <c r="O19" s="75">
        <f t="shared" ref="O19:R19" si="16">10*4*9+20*4*3</f>
        <v>600</v>
      </c>
      <c r="P19" s="75">
        <f t="shared" si="16"/>
        <v>600</v>
      </c>
      <c r="Q19" s="75">
        <f t="shared" si="16"/>
        <v>600</v>
      </c>
      <c r="R19" s="75">
        <f t="shared" si="16"/>
        <v>600</v>
      </c>
      <c r="S19" s="16"/>
      <c r="U19" s="97" t="s">
        <v>78</v>
      </c>
    </row>
    <row r="20" spans="1:21">
      <c r="A20" s="17"/>
      <c r="B20" s="21" t="s">
        <v>27</v>
      </c>
      <c r="C20" s="18"/>
      <c r="D20" s="18"/>
      <c r="E20" s="38">
        <f t="shared" si="10"/>
        <v>0</v>
      </c>
      <c r="F20" s="38">
        <f t="shared" si="11"/>
        <v>0</v>
      </c>
      <c r="G20" s="38">
        <f t="shared" si="12"/>
        <v>0</v>
      </c>
      <c r="H20" s="38">
        <f t="shared" si="13"/>
        <v>0</v>
      </c>
      <c r="I20" s="38">
        <f t="shared" si="14"/>
        <v>0</v>
      </c>
      <c r="J20" s="19">
        <f t="shared" si="9"/>
        <v>0</v>
      </c>
      <c r="L20" s="91"/>
      <c r="M20" s="95">
        <v>3000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16"/>
    </row>
    <row r="21" spans="1:21">
      <c r="A21" s="17"/>
      <c r="B21" s="21" t="s">
        <v>26</v>
      </c>
      <c r="C21" s="18"/>
      <c r="D21" s="18"/>
      <c r="E21" s="38">
        <f t="shared" si="10"/>
        <v>0</v>
      </c>
      <c r="F21" s="38">
        <f t="shared" si="11"/>
        <v>0</v>
      </c>
      <c r="G21" s="38">
        <f t="shared" si="12"/>
        <v>0</v>
      </c>
      <c r="H21" s="38">
        <f t="shared" si="13"/>
        <v>0</v>
      </c>
      <c r="I21" s="38">
        <f t="shared" si="14"/>
        <v>0</v>
      </c>
      <c r="J21" s="19">
        <f t="shared" si="9"/>
        <v>0</v>
      </c>
      <c r="L21" s="27"/>
      <c r="M21" s="98">
        <v>10</v>
      </c>
      <c r="N21" s="75"/>
      <c r="O21" s="75"/>
      <c r="P21" s="75"/>
      <c r="Q21" s="75"/>
      <c r="R21" s="75"/>
      <c r="S21" s="16"/>
    </row>
    <row r="22" spans="1:21" s="34" customFormat="1">
      <c r="A22" s="30"/>
      <c r="B22" s="31" t="s">
        <v>25</v>
      </c>
      <c r="C22" s="31"/>
      <c r="D22" s="31"/>
      <c r="E22" s="32">
        <f>E12+SUM(E14:E21)</f>
        <v>154836.18461833333</v>
      </c>
      <c r="F22" s="32">
        <f>F12+SUM(F14:F21)</f>
        <v>185475.5376985</v>
      </c>
      <c r="G22" s="32">
        <f>G12+SUM(G14:G21)</f>
        <v>194749.31458342497</v>
      </c>
      <c r="H22" s="32">
        <f>H12+SUM(H14:H21)</f>
        <v>204486.78031259627</v>
      </c>
      <c r="I22" s="32">
        <f>I12+SUM(I14:I21)</f>
        <v>214711.11932822608</v>
      </c>
      <c r="J22" s="33">
        <f t="shared" si="9"/>
        <v>954258.93654108059</v>
      </c>
      <c r="L22" s="35"/>
      <c r="M22" s="89"/>
      <c r="N22" s="52"/>
      <c r="O22" s="52"/>
      <c r="P22" s="52"/>
      <c r="Q22" s="52"/>
      <c r="R22" s="52"/>
      <c r="S22" s="53"/>
    </row>
    <row r="23" spans="1:21">
      <c r="A23" s="17" t="s">
        <v>24</v>
      </c>
      <c r="B23" s="18" t="s">
        <v>44</v>
      </c>
      <c r="C23" s="18"/>
      <c r="D23" s="18"/>
      <c r="E23" s="29"/>
      <c r="F23" s="29"/>
      <c r="G23" s="29"/>
      <c r="H23" s="29"/>
      <c r="I23" s="29"/>
      <c r="J23" s="19"/>
      <c r="L23" s="14"/>
      <c r="M23" s="88"/>
      <c r="N23" s="15"/>
      <c r="O23" s="15"/>
      <c r="P23" s="15"/>
      <c r="Q23" s="15"/>
      <c r="R23" s="15"/>
      <c r="S23" s="16"/>
    </row>
    <row r="24" spans="1:21">
      <c r="A24" s="17"/>
      <c r="B24" s="21" t="s">
        <v>302</v>
      </c>
      <c r="C24" s="18"/>
      <c r="D24" s="18"/>
      <c r="E24" s="22">
        <f>ROUND(($S26*(E12)),0)</f>
        <v>1657</v>
      </c>
      <c r="F24" s="22">
        <f>ROUND(($S26*(F12)),0)</f>
        <v>3480</v>
      </c>
      <c r="G24" s="22">
        <f>ROUND(($S26*(G12)),0)</f>
        <v>3654</v>
      </c>
      <c r="H24" s="22">
        <f>ROUND(($S26*(H12)),0)</f>
        <v>3837</v>
      </c>
      <c r="I24" s="22">
        <f>ROUND(($S26*(I12)),0)</f>
        <v>4029</v>
      </c>
      <c r="J24" s="19">
        <f t="shared" si="9"/>
        <v>16657</v>
      </c>
      <c r="L24" s="14"/>
      <c r="M24" s="88"/>
      <c r="N24" s="15"/>
      <c r="O24" s="15"/>
      <c r="P24" s="15"/>
      <c r="Q24" s="15"/>
      <c r="R24" s="15"/>
      <c r="S24" s="16"/>
    </row>
    <row r="25" spans="1:21">
      <c r="A25" s="17"/>
      <c r="B25" s="21" t="s">
        <v>166</v>
      </c>
      <c r="C25" s="18"/>
      <c r="D25" s="18"/>
      <c r="E25" s="22">
        <f>+(E14+E15)*$S$25</f>
        <v>0</v>
      </c>
      <c r="F25" s="22">
        <f>+(F14+F15)*$S$25</f>
        <v>0</v>
      </c>
      <c r="G25" s="22">
        <f>+(G14+G15)*$S$25</f>
        <v>0</v>
      </c>
      <c r="H25" s="22">
        <f>+(H14+H15)*$S$25</f>
        <v>0</v>
      </c>
      <c r="I25" s="22">
        <f>+(I14+I15)*$S$25</f>
        <v>0</v>
      </c>
      <c r="J25" s="19">
        <f t="shared" si="9"/>
        <v>0</v>
      </c>
      <c r="L25" s="14"/>
      <c r="M25" s="88"/>
      <c r="N25" s="15"/>
      <c r="O25" s="15"/>
      <c r="P25" s="15"/>
      <c r="Q25" s="15"/>
      <c r="R25" s="15"/>
      <c r="S25" s="326">
        <v>0.29899999999999999</v>
      </c>
      <c r="U25" s="2" t="s">
        <v>111</v>
      </c>
    </row>
    <row r="26" spans="1:21">
      <c r="A26" s="17"/>
      <c r="B26" s="21" t="s">
        <v>52</v>
      </c>
      <c r="C26" s="18"/>
      <c r="D26" s="18"/>
      <c r="E26" s="22">
        <f>ROUND((E16+E17+E18)*$S27,0)</f>
        <v>33415</v>
      </c>
      <c r="F26" s="22">
        <f>ROUND((F16+F17+F18)*$S27,0)</f>
        <v>35086</v>
      </c>
      <c r="G26" s="22">
        <f>ROUND((G16+G17+G18)*$S27,0)</f>
        <v>36840</v>
      </c>
      <c r="H26" s="22">
        <f>ROUND((H16+H17+H18)*$S27,0)</f>
        <v>38682</v>
      </c>
      <c r="I26" s="22">
        <f>ROUND((I16+I17+I18)*$S27,0)</f>
        <v>40616</v>
      </c>
      <c r="J26" s="19">
        <f t="shared" si="9"/>
        <v>184639</v>
      </c>
      <c r="L26" s="14"/>
      <c r="M26" s="88"/>
      <c r="N26" s="15"/>
      <c r="O26" s="15"/>
      <c r="P26" s="15"/>
      <c r="Q26" s="15"/>
      <c r="R26" s="15"/>
      <c r="S26" s="326">
        <v>7.5999999999999998E-2</v>
      </c>
      <c r="U26" s="2" t="s">
        <v>80</v>
      </c>
    </row>
    <row r="27" spans="1:21">
      <c r="A27" s="17"/>
      <c r="B27" s="21" t="s">
        <v>82</v>
      </c>
      <c r="C27" s="18"/>
      <c r="D27" s="18"/>
      <c r="E27" s="22">
        <f>ROUND(E19*$S26,0)</f>
        <v>705</v>
      </c>
      <c r="F27" s="22">
        <f>ROUND(F19*$S26,0)</f>
        <v>740</v>
      </c>
      <c r="G27" s="22">
        <f>ROUND(G19*$S26,0)</f>
        <v>777</v>
      </c>
      <c r="H27" s="22">
        <f>ROUND(H19*$S26,0)</f>
        <v>816</v>
      </c>
      <c r="I27" s="22">
        <f>ROUND(I19*$S26,0)</f>
        <v>856</v>
      </c>
      <c r="J27" s="19">
        <f t="shared" si="9"/>
        <v>3894</v>
      </c>
      <c r="L27" s="14"/>
      <c r="M27" s="88"/>
      <c r="N27" s="15"/>
      <c r="O27" s="15"/>
      <c r="P27" s="15"/>
      <c r="Q27" s="15"/>
      <c r="R27" s="15"/>
      <c r="S27" s="326">
        <v>0.27</v>
      </c>
      <c r="U27" s="2" t="s">
        <v>81</v>
      </c>
    </row>
    <row r="28" spans="1:21">
      <c r="A28" s="17"/>
      <c r="B28" s="21" t="s">
        <v>109</v>
      </c>
      <c r="C28" s="18"/>
      <c r="D28" s="18"/>
      <c r="E28" s="22">
        <f>+E20*$S$28</f>
        <v>0</v>
      </c>
      <c r="F28" s="22">
        <f>+F20*$S$28</f>
        <v>0</v>
      </c>
      <c r="G28" s="22">
        <f>+G20*$S$28</f>
        <v>0</v>
      </c>
      <c r="H28" s="22">
        <f>+H20*$S$28</f>
        <v>0</v>
      </c>
      <c r="I28" s="22">
        <f>+I20*$S$28</f>
        <v>0</v>
      </c>
      <c r="J28" s="19">
        <f t="shared" si="9"/>
        <v>0</v>
      </c>
      <c r="L28" s="14"/>
      <c r="M28" s="88"/>
      <c r="N28" s="15"/>
      <c r="O28" s="15"/>
      <c r="P28" s="15"/>
      <c r="Q28" s="15"/>
      <c r="R28" s="15"/>
      <c r="S28" s="326">
        <v>0.35599999999999998</v>
      </c>
      <c r="U28" s="2" t="s">
        <v>110</v>
      </c>
    </row>
    <row r="29" spans="1:21">
      <c r="A29" s="17"/>
      <c r="B29" s="18" t="s">
        <v>46</v>
      </c>
      <c r="C29" s="18"/>
      <c r="D29" s="18"/>
      <c r="E29" s="22">
        <f>SUM(E24:E28)</f>
        <v>35777</v>
      </c>
      <c r="F29" s="22">
        <f t="shared" ref="F29:I29" si="17">SUM(F24:F28)</f>
        <v>39306</v>
      </c>
      <c r="G29" s="22">
        <f t="shared" si="17"/>
        <v>41271</v>
      </c>
      <c r="H29" s="22">
        <f t="shared" si="17"/>
        <v>43335</v>
      </c>
      <c r="I29" s="22">
        <f t="shared" si="17"/>
        <v>45501</v>
      </c>
      <c r="J29" s="19">
        <f t="shared" si="9"/>
        <v>205190</v>
      </c>
      <c r="L29" s="14"/>
      <c r="M29" s="88"/>
      <c r="N29" s="15"/>
      <c r="O29" s="15"/>
      <c r="P29" s="15"/>
      <c r="Q29" s="15"/>
      <c r="R29" s="15"/>
      <c r="S29" s="16"/>
    </row>
    <row r="30" spans="1:21" s="34" customFormat="1">
      <c r="A30" s="30"/>
      <c r="B30" s="31" t="s">
        <v>23</v>
      </c>
      <c r="C30" s="31"/>
      <c r="D30" s="31"/>
      <c r="E30" s="32">
        <f>E29+E22</f>
        <v>190613.18461833333</v>
      </c>
      <c r="F30" s="32">
        <f>F29+F22</f>
        <v>224781.5376985</v>
      </c>
      <c r="G30" s="32">
        <f>G29+G22</f>
        <v>236020.31458342497</v>
      </c>
      <c r="H30" s="32">
        <f>H29+H22</f>
        <v>247821.78031259627</v>
      </c>
      <c r="I30" s="32">
        <f>I29+I22</f>
        <v>260212.11932822608</v>
      </c>
      <c r="J30" s="33">
        <f t="shared" si="9"/>
        <v>1159448.9365410805</v>
      </c>
      <c r="L30" s="35"/>
      <c r="M30" s="89"/>
      <c r="N30" s="52"/>
      <c r="O30" s="52"/>
      <c r="P30" s="52"/>
      <c r="Q30" s="52"/>
      <c r="R30" s="52"/>
      <c r="S30" s="16"/>
    </row>
    <row r="31" spans="1:21">
      <c r="A31" s="23" t="s">
        <v>22</v>
      </c>
      <c r="B31" s="18" t="s">
        <v>45</v>
      </c>
      <c r="C31" s="18"/>
      <c r="D31" s="18"/>
      <c r="E31" s="29"/>
      <c r="F31" s="29"/>
      <c r="G31" s="29"/>
      <c r="H31" s="29"/>
      <c r="I31" s="29"/>
      <c r="J31" s="19"/>
      <c r="L31" s="14"/>
      <c r="M31" s="88"/>
      <c r="N31" s="15"/>
      <c r="O31" s="15"/>
      <c r="P31" s="15"/>
      <c r="Q31" s="15"/>
      <c r="R31" s="15"/>
      <c r="S31" s="16"/>
    </row>
    <row r="32" spans="1:21" hidden="1">
      <c r="A32" s="17"/>
      <c r="B32" s="21"/>
      <c r="C32" s="18"/>
      <c r="D32" s="36"/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19">
        <f t="shared" si="9"/>
        <v>0</v>
      </c>
      <c r="L32" s="14"/>
      <c r="M32" s="88"/>
      <c r="N32" s="15"/>
      <c r="O32" s="15"/>
      <c r="P32" s="15"/>
      <c r="Q32" s="15"/>
      <c r="R32" s="15"/>
      <c r="S32" s="16"/>
    </row>
    <row r="33" spans="1:21" hidden="1">
      <c r="A33" s="17"/>
      <c r="B33" s="37"/>
      <c r="C33" s="24"/>
      <c r="D33" s="24"/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9">
        <f t="shared" si="9"/>
        <v>0</v>
      </c>
      <c r="L33" s="14"/>
      <c r="M33" s="88"/>
      <c r="N33" s="15"/>
      <c r="O33" s="15"/>
      <c r="P33" s="15"/>
      <c r="Q33" s="15"/>
      <c r="R33" s="15"/>
      <c r="S33" s="16"/>
    </row>
    <row r="34" spans="1:21">
      <c r="A34" s="17"/>
      <c r="B34" s="18" t="s">
        <v>21</v>
      </c>
      <c r="C34" s="18"/>
      <c r="D34" s="18"/>
      <c r="E34" s="38">
        <f>+E32+E33</f>
        <v>0</v>
      </c>
      <c r="F34" s="38">
        <f t="shared" ref="F34:I34" si="18">+F32+F33</f>
        <v>0</v>
      </c>
      <c r="G34" s="38">
        <f t="shared" si="18"/>
        <v>0</v>
      </c>
      <c r="H34" s="38">
        <f t="shared" si="18"/>
        <v>0</v>
      </c>
      <c r="I34" s="38">
        <f t="shared" si="18"/>
        <v>0</v>
      </c>
      <c r="J34" s="19">
        <f t="shared" si="9"/>
        <v>0</v>
      </c>
      <c r="L34" s="14"/>
      <c r="M34" s="88"/>
      <c r="N34" s="15"/>
      <c r="O34" s="15"/>
      <c r="P34" s="15"/>
      <c r="Q34" s="15"/>
      <c r="R34" s="15"/>
      <c r="S34" s="16"/>
    </row>
    <row r="35" spans="1:21">
      <c r="A35" s="23" t="s">
        <v>20</v>
      </c>
      <c r="B35" s="18" t="s">
        <v>19</v>
      </c>
      <c r="C35" s="18" t="s">
        <v>43</v>
      </c>
      <c r="D35" s="18"/>
      <c r="E35" s="38">
        <v>2000</v>
      </c>
      <c r="F35" s="38">
        <v>2000</v>
      </c>
      <c r="G35" s="38">
        <v>2000</v>
      </c>
      <c r="H35" s="38">
        <v>2000</v>
      </c>
      <c r="I35" s="38">
        <v>2000</v>
      </c>
      <c r="J35" s="19">
        <f t="shared" si="9"/>
        <v>10000</v>
      </c>
      <c r="L35" s="14"/>
      <c r="M35" s="88"/>
      <c r="N35" s="15"/>
      <c r="O35" s="15"/>
      <c r="P35" s="15"/>
      <c r="Q35" s="15"/>
      <c r="R35" s="15"/>
      <c r="S35" s="16"/>
    </row>
    <row r="36" spans="1:21">
      <c r="A36" s="17"/>
      <c r="B36" s="39"/>
      <c r="C36" s="18" t="s">
        <v>18</v>
      </c>
      <c r="D36" s="18"/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19">
        <f t="shared" si="9"/>
        <v>0</v>
      </c>
      <c r="L36" s="14"/>
      <c r="M36" s="88"/>
      <c r="N36" s="15"/>
      <c r="O36" s="15"/>
      <c r="P36" s="15"/>
      <c r="Q36" s="15"/>
      <c r="R36" s="15"/>
      <c r="S36" s="16"/>
      <c r="U36" s="127"/>
    </row>
    <row r="37" spans="1:21">
      <c r="A37" s="17"/>
      <c r="B37" s="24" t="s">
        <v>47</v>
      </c>
      <c r="C37" s="24"/>
      <c r="D37" s="24"/>
      <c r="E37" s="22">
        <f>SUM(E35:E36)</f>
        <v>2000</v>
      </c>
      <c r="F37" s="22">
        <f>SUM(F35:F36)</f>
        <v>2000</v>
      </c>
      <c r="G37" s="22">
        <f>SUM(G35:G36)</f>
        <v>2000</v>
      </c>
      <c r="H37" s="22">
        <f>SUM(H35:H36)</f>
        <v>2000</v>
      </c>
      <c r="I37" s="22">
        <f>SUM(I35:I36)</f>
        <v>2000</v>
      </c>
      <c r="J37" s="19">
        <f t="shared" si="9"/>
        <v>10000</v>
      </c>
      <c r="L37" s="14"/>
      <c r="M37" s="88"/>
      <c r="N37" s="15"/>
      <c r="O37" s="15"/>
      <c r="P37" s="15"/>
      <c r="Q37" s="15"/>
      <c r="R37" s="15"/>
      <c r="S37" s="16"/>
    </row>
    <row r="38" spans="1:21">
      <c r="A38" s="40" t="s">
        <v>17</v>
      </c>
      <c r="B38" s="39" t="s">
        <v>16</v>
      </c>
      <c r="C38" s="41"/>
      <c r="D38" s="41"/>
      <c r="E38" s="42"/>
      <c r="F38" s="42"/>
      <c r="G38" s="42"/>
      <c r="H38" s="42"/>
      <c r="I38" s="42"/>
      <c r="J38" s="19"/>
      <c r="L38" s="14"/>
      <c r="M38" s="88"/>
      <c r="N38" s="15"/>
      <c r="O38" s="15"/>
      <c r="P38" s="15"/>
      <c r="Q38" s="15"/>
      <c r="R38" s="15"/>
      <c r="S38" s="16"/>
    </row>
    <row r="39" spans="1:21" hidden="1">
      <c r="A39" s="17"/>
      <c r="B39" s="43" t="s">
        <v>282</v>
      </c>
      <c r="C39" s="44">
        <v>0</v>
      </c>
      <c r="D39" s="24"/>
      <c r="E39" s="38"/>
      <c r="F39" s="38">
        <v>0</v>
      </c>
      <c r="G39" s="38">
        <v>0</v>
      </c>
      <c r="H39" s="38">
        <v>0</v>
      </c>
      <c r="I39" s="38">
        <v>0</v>
      </c>
      <c r="J39" s="19">
        <f t="shared" si="9"/>
        <v>0</v>
      </c>
      <c r="L39" s="14"/>
      <c r="M39" s="88"/>
      <c r="N39" s="15"/>
      <c r="O39" s="15"/>
      <c r="P39" s="15"/>
      <c r="Q39" s="15"/>
      <c r="R39" s="15"/>
      <c r="S39" s="16"/>
    </row>
    <row r="40" spans="1:21" hidden="1">
      <c r="A40" s="17"/>
      <c r="B40" s="43" t="s">
        <v>283</v>
      </c>
      <c r="C40" s="44"/>
      <c r="D40" s="24"/>
      <c r="E40" s="38"/>
      <c r="F40" s="38"/>
      <c r="G40" s="38"/>
      <c r="H40" s="38"/>
      <c r="I40" s="38"/>
      <c r="J40" s="19">
        <f t="shared" si="9"/>
        <v>0</v>
      </c>
      <c r="L40" s="14"/>
      <c r="M40" s="88"/>
      <c r="N40" s="15"/>
      <c r="O40" s="15"/>
      <c r="P40" s="15"/>
      <c r="Q40" s="15"/>
      <c r="R40" s="15"/>
      <c r="S40" s="16"/>
    </row>
    <row r="41" spans="1:21" hidden="1">
      <c r="A41" s="17"/>
      <c r="B41" s="43" t="s">
        <v>284</v>
      </c>
      <c r="C41" s="44">
        <v>0</v>
      </c>
      <c r="D41" s="24"/>
      <c r="E41" s="38"/>
      <c r="F41" s="38"/>
      <c r="G41" s="38"/>
      <c r="H41" s="38"/>
      <c r="I41" s="38"/>
      <c r="J41" s="19">
        <f t="shared" si="9"/>
        <v>0</v>
      </c>
      <c r="L41" s="14"/>
      <c r="M41" s="88"/>
      <c r="N41" s="15"/>
      <c r="O41" s="15"/>
      <c r="P41" s="15"/>
      <c r="Q41" s="15"/>
      <c r="R41" s="15"/>
      <c r="S41" s="16"/>
    </row>
    <row r="42" spans="1:21" hidden="1">
      <c r="A42" s="17"/>
      <c r="B42" s="45" t="s">
        <v>285</v>
      </c>
      <c r="C42" s="44">
        <v>0</v>
      </c>
      <c r="D42" s="24"/>
      <c r="E42" s="38"/>
      <c r="F42" s="38"/>
      <c r="G42" s="38"/>
      <c r="H42" s="38"/>
      <c r="I42" s="38"/>
      <c r="J42" s="19">
        <f t="shared" si="9"/>
        <v>0</v>
      </c>
      <c r="L42" s="14"/>
      <c r="M42" s="88"/>
      <c r="N42" s="15"/>
      <c r="O42" s="15"/>
      <c r="P42" s="15"/>
      <c r="Q42" s="15"/>
      <c r="R42" s="15"/>
      <c r="S42" s="16"/>
    </row>
    <row r="43" spans="1:21" ht="14.25" hidden="1" customHeight="1">
      <c r="A43" s="17"/>
      <c r="B43" s="24" t="s">
        <v>286</v>
      </c>
      <c r="C43" s="44">
        <v>0</v>
      </c>
      <c r="D43" s="24"/>
      <c r="E43" s="38"/>
      <c r="F43" s="38"/>
      <c r="G43" s="38"/>
      <c r="H43" s="38"/>
      <c r="I43" s="38"/>
      <c r="J43" s="19">
        <f t="shared" si="9"/>
        <v>0</v>
      </c>
      <c r="L43" s="14"/>
      <c r="M43" s="88"/>
      <c r="N43" s="15"/>
      <c r="O43" s="15"/>
      <c r="P43" s="15"/>
      <c r="Q43" s="15"/>
      <c r="R43" s="15"/>
      <c r="S43" s="16"/>
    </row>
    <row r="44" spans="1:21">
      <c r="A44" s="17"/>
      <c r="B44" s="316" t="s">
        <v>11</v>
      </c>
      <c r="C44" s="47"/>
      <c r="D44" s="39"/>
      <c r="E44" s="22">
        <f>SUM(E39:E42)</f>
        <v>0</v>
      </c>
      <c r="F44" s="22">
        <f t="shared" ref="F44:I44" si="19">SUM(F39:F42)</f>
        <v>0</v>
      </c>
      <c r="G44" s="22">
        <f t="shared" si="19"/>
        <v>0</v>
      </c>
      <c r="H44" s="22">
        <f t="shared" si="19"/>
        <v>0</v>
      </c>
      <c r="I44" s="22">
        <f t="shared" si="19"/>
        <v>0</v>
      </c>
      <c r="J44" s="19">
        <f t="shared" si="9"/>
        <v>0</v>
      </c>
      <c r="L44" s="14"/>
      <c r="M44" s="88"/>
      <c r="N44" s="15"/>
      <c r="O44" s="15"/>
      <c r="P44" s="15"/>
      <c r="Q44" s="15"/>
      <c r="R44" s="15"/>
      <c r="S44" s="16"/>
    </row>
    <row r="45" spans="1:21">
      <c r="A45" s="23" t="s">
        <v>10</v>
      </c>
      <c r="B45" s="18" t="s">
        <v>9</v>
      </c>
      <c r="C45" s="18"/>
      <c r="D45" s="18"/>
      <c r="E45" s="42"/>
      <c r="F45" s="42"/>
      <c r="G45" s="42"/>
      <c r="H45" s="42"/>
      <c r="I45" s="42"/>
      <c r="J45" s="19"/>
      <c r="L45" s="14"/>
      <c r="M45" s="88"/>
      <c r="N45" s="15"/>
      <c r="O45" s="15"/>
      <c r="P45" s="15"/>
      <c r="Q45" s="15"/>
      <c r="R45" s="15"/>
      <c r="S45" s="16"/>
    </row>
    <row r="46" spans="1:21">
      <c r="A46" s="17"/>
      <c r="B46" s="21" t="s">
        <v>8</v>
      </c>
      <c r="C46" s="18"/>
      <c r="D46" s="18"/>
      <c r="E46" s="38">
        <v>3000</v>
      </c>
      <c r="F46" s="38">
        <v>3000</v>
      </c>
      <c r="G46" s="38">
        <v>3000</v>
      </c>
      <c r="H46" s="38">
        <v>3000</v>
      </c>
      <c r="I46" s="38">
        <v>3000</v>
      </c>
      <c r="J46" s="19">
        <f t="shared" si="9"/>
        <v>15000</v>
      </c>
      <c r="L46" s="14"/>
      <c r="M46" s="88"/>
      <c r="N46" s="15"/>
      <c r="O46" s="15"/>
      <c r="P46" s="15"/>
      <c r="Q46" s="15"/>
      <c r="R46" s="15"/>
      <c r="S46" s="16"/>
    </row>
    <row r="47" spans="1:21">
      <c r="A47" s="17"/>
      <c r="B47" s="21" t="s">
        <v>280</v>
      </c>
      <c r="C47" s="18"/>
      <c r="D47" s="18"/>
      <c r="E47" s="38">
        <v>1500</v>
      </c>
      <c r="F47" s="38">
        <v>1500</v>
      </c>
      <c r="G47" s="38">
        <v>1500</v>
      </c>
      <c r="H47" s="38">
        <v>1500</v>
      </c>
      <c r="I47" s="38">
        <v>1500</v>
      </c>
      <c r="J47" s="19">
        <f t="shared" si="9"/>
        <v>7500</v>
      </c>
      <c r="L47" s="14"/>
      <c r="M47" s="88"/>
      <c r="N47" s="15"/>
      <c r="O47" s="15"/>
      <c r="P47" s="15"/>
      <c r="Q47" s="15"/>
      <c r="R47" s="15"/>
      <c r="S47" s="16"/>
    </row>
    <row r="48" spans="1:21">
      <c r="A48" s="17"/>
      <c r="B48" s="21" t="s">
        <v>7</v>
      </c>
      <c r="C48" s="18"/>
      <c r="D48" s="18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19">
        <f t="shared" si="9"/>
        <v>0</v>
      </c>
      <c r="L48" s="14"/>
      <c r="M48" s="88"/>
      <c r="N48" s="15"/>
      <c r="O48" s="15"/>
      <c r="P48" s="15"/>
      <c r="Q48" s="15"/>
      <c r="R48" s="15"/>
      <c r="S48" s="16"/>
    </row>
    <row r="49" spans="1:19">
      <c r="A49" s="17"/>
      <c r="B49" s="21" t="s">
        <v>287</v>
      </c>
      <c r="C49" s="18"/>
      <c r="D49" s="18"/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19">
        <f t="shared" si="9"/>
        <v>0</v>
      </c>
      <c r="L49" s="14"/>
      <c r="M49" s="88"/>
      <c r="N49" s="15"/>
      <c r="O49" s="15"/>
      <c r="P49" s="15"/>
      <c r="Q49" s="15"/>
      <c r="R49" s="15"/>
      <c r="S49" s="16"/>
    </row>
    <row r="50" spans="1:19">
      <c r="A50" s="17"/>
      <c r="B50" s="185" t="s">
        <v>202</v>
      </c>
      <c r="C50" s="18"/>
      <c r="D50" s="18" t="s">
        <v>196</v>
      </c>
      <c r="E50" s="38">
        <v>100000</v>
      </c>
      <c r="F50" s="38">
        <v>100000</v>
      </c>
      <c r="G50" s="38">
        <v>100000</v>
      </c>
      <c r="H50" s="38">
        <v>100000</v>
      </c>
      <c r="I50" s="38">
        <v>100000</v>
      </c>
      <c r="J50" s="19">
        <f t="shared" si="9"/>
        <v>500000</v>
      </c>
      <c r="L50" s="14"/>
      <c r="M50" s="88"/>
      <c r="N50" s="15"/>
      <c r="O50" s="15"/>
      <c r="P50" s="15"/>
      <c r="Q50" s="15"/>
      <c r="R50" s="15"/>
      <c r="S50" s="16"/>
    </row>
    <row r="51" spans="1:19">
      <c r="A51" s="17"/>
      <c r="B51" s="185" t="s">
        <v>194</v>
      </c>
      <c r="C51" s="18"/>
      <c r="D51" s="18" t="s">
        <v>197</v>
      </c>
      <c r="E51" s="38">
        <v>50000</v>
      </c>
      <c r="F51" s="38">
        <v>50000</v>
      </c>
      <c r="G51" s="38">
        <v>50000</v>
      </c>
      <c r="H51" s="38">
        <v>50000</v>
      </c>
      <c r="I51" s="38">
        <v>50000</v>
      </c>
      <c r="J51" s="19">
        <f t="shared" si="9"/>
        <v>250000</v>
      </c>
      <c r="L51" s="14"/>
      <c r="M51" s="88"/>
      <c r="N51" s="15"/>
      <c r="O51" s="15"/>
      <c r="P51" s="15"/>
      <c r="Q51" s="15"/>
      <c r="R51" s="15"/>
      <c r="S51" s="16"/>
    </row>
    <row r="52" spans="1:19">
      <c r="A52" s="17"/>
      <c r="B52" s="185" t="s">
        <v>195</v>
      </c>
      <c r="C52" s="18"/>
      <c r="D52" s="18" t="s">
        <v>198</v>
      </c>
      <c r="E52" s="38">
        <v>75000</v>
      </c>
      <c r="F52" s="38">
        <v>75000</v>
      </c>
      <c r="G52" s="38">
        <v>75000</v>
      </c>
      <c r="H52" s="38">
        <v>75000</v>
      </c>
      <c r="I52" s="38">
        <v>75000</v>
      </c>
      <c r="J52" s="19">
        <f t="shared" si="9"/>
        <v>375000</v>
      </c>
      <c r="L52" s="14"/>
      <c r="M52" s="88"/>
      <c r="N52" s="15"/>
      <c r="O52" s="15"/>
      <c r="P52" s="15"/>
      <c r="Q52" s="15"/>
      <c r="R52" s="15"/>
      <c r="S52" s="16"/>
    </row>
    <row r="53" spans="1:19" hidden="1">
      <c r="A53" s="17"/>
      <c r="B53" s="185" t="s">
        <v>255</v>
      </c>
      <c r="C53" s="18"/>
      <c r="D53" s="18"/>
      <c r="E53" s="38"/>
      <c r="F53" s="38"/>
      <c r="G53" s="38"/>
      <c r="H53" s="38"/>
      <c r="I53" s="38"/>
      <c r="J53" s="19"/>
      <c r="L53" s="14"/>
      <c r="M53" s="88"/>
      <c r="N53" s="15"/>
      <c r="O53" s="15"/>
      <c r="P53" s="15"/>
      <c r="Q53" s="15"/>
      <c r="R53" s="15"/>
      <c r="S53" s="16"/>
    </row>
    <row r="54" spans="1:19" hidden="1">
      <c r="A54" s="17"/>
      <c r="B54" s="185" t="s">
        <v>324</v>
      </c>
      <c r="C54" s="18"/>
      <c r="D54" s="18"/>
      <c r="E54" s="38"/>
      <c r="F54" s="38"/>
      <c r="G54" s="38"/>
      <c r="H54" s="38"/>
      <c r="I54" s="38"/>
      <c r="J54" s="19"/>
      <c r="L54" s="14"/>
      <c r="M54" s="88"/>
      <c r="N54" s="15"/>
      <c r="O54" s="15"/>
      <c r="P54" s="15"/>
      <c r="Q54" s="15"/>
      <c r="R54" s="15"/>
      <c r="S54" s="16"/>
    </row>
    <row r="55" spans="1:19">
      <c r="A55" s="17"/>
      <c r="B55" s="21" t="s">
        <v>6</v>
      </c>
      <c r="C55" s="48"/>
      <c r="D55" s="186">
        <v>3</v>
      </c>
      <c r="E55" s="38">
        <f>SUM(E50:E54)</f>
        <v>225000</v>
      </c>
      <c r="F55" s="38">
        <f t="shared" ref="F55:I55" si="20">SUM(F50:F54)</f>
        <v>225000</v>
      </c>
      <c r="G55" s="38">
        <f t="shared" si="20"/>
        <v>225000</v>
      </c>
      <c r="H55" s="38">
        <f t="shared" si="20"/>
        <v>225000</v>
      </c>
      <c r="I55" s="38">
        <f t="shared" si="20"/>
        <v>225000</v>
      </c>
      <c r="J55" s="19">
        <f t="shared" si="9"/>
        <v>1125000</v>
      </c>
      <c r="L55" s="14"/>
      <c r="M55" s="88"/>
      <c r="N55" s="15"/>
      <c r="O55" s="15"/>
      <c r="P55" s="15"/>
      <c r="Q55" s="15"/>
      <c r="R55" s="15"/>
      <c r="S55" s="16"/>
    </row>
    <row r="56" spans="1:19">
      <c r="A56" s="17"/>
      <c r="B56" s="21" t="s">
        <v>290</v>
      </c>
      <c r="C56" s="48"/>
      <c r="D56" s="309"/>
      <c r="E56" s="38"/>
      <c r="F56" s="38"/>
      <c r="G56" s="38"/>
      <c r="H56" s="38"/>
      <c r="I56" s="38"/>
      <c r="J56" s="19">
        <f t="shared" si="9"/>
        <v>0</v>
      </c>
      <c r="L56" s="14"/>
      <c r="M56" s="88"/>
      <c r="N56" s="15"/>
      <c r="O56" s="15"/>
      <c r="P56" s="15"/>
      <c r="Q56" s="15"/>
      <c r="R56" s="15"/>
      <c r="S56" s="16"/>
    </row>
    <row r="57" spans="1:19">
      <c r="A57" s="17"/>
      <c r="B57" s="21" t="s">
        <v>289</v>
      </c>
      <c r="C57" s="18"/>
      <c r="D57" s="18"/>
      <c r="E57" s="38">
        <f>N57*$M57</f>
        <v>32476</v>
      </c>
      <c r="F57" s="38">
        <f>$M57*$S57*O57</f>
        <v>34099.800000000003</v>
      </c>
      <c r="G57" s="38">
        <f>$M57*$S57^2*P57</f>
        <v>35804.79</v>
      </c>
      <c r="H57" s="38">
        <f>$M57*$S57^3*Q57</f>
        <v>37595.029500000004</v>
      </c>
      <c r="I57" s="38">
        <f>$M57*$S57^4*R57</f>
        <v>39474.780975000001</v>
      </c>
      <c r="J57" s="19">
        <f t="shared" si="9"/>
        <v>179450.400475</v>
      </c>
      <c r="L57" s="49">
        <v>16238</v>
      </c>
      <c r="M57" s="96">
        <f>+L57/12</f>
        <v>1353.1666666666667</v>
      </c>
      <c r="N57" s="50">
        <f>+N16+N17</f>
        <v>24</v>
      </c>
      <c r="O57" s="50">
        <f t="shared" ref="O57:R57" si="21">+O16+O17</f>
        <v>24</v>
      </c>
      <c r="P57" s="50">
        <f t="shared" si="21"/>
        <v>24</v>
      </c>
      <c r="Q57" s="50">
        <f t="shared" si="21"/>
        <v>24</v>
      </c>
      <c r="R57" s="50">
        <f t="shared" si="21"/>
        <v>24</v>
      </c>
      <c r="S57" s="327">
        <v>1.05</v>
      </c>
    </row>
    <row r="58" spans="1:19">
      <c r="A58" s="17"/>
      <c r="B58" s="308" t="s">
        <v>127</v>
      </c>
      <c r="C58" s="307"/>
      <c r="D58" s="18"/>
      <c r="E58" s="38">
        <f>+N58*$L$58</f>
        <v>2647.68</v>
      </c>
      <c r="F58" s="38">
        <f>+O58*$L$58*$S$58</f>
        <v>2780.0639999999999</v>
      </c>
      <c r="G58" s="38">
        <f>+P58*$L$58*$S$58^2</f>
        <v>2919.0672</v>
      </c>
      <c r="H58" s="38">
        <f>+Q58*$L$58*$S$58^3</f>
        <v>3065.0205599999999</v>
      </c>
      <c r="I58" s="38">
        <f>+R58*$L$58*$S$58^4</f>
        <v>3218.2715879999996</v>
      </c>
      <c r="J58" s="19">
        <f t="shared" si="9"/>
        <v>14630.103348000001</v>
      </c>
      <c r="L58" s="126">
        <v>2647.68</v>
      </c>
      <c r="M58" s="96"/>
      <c r="N58" s="50">
        <f>IF(N18&gt;=1,1,0)</f>
        <v>1</v>
      </c>
      <c r="O58" s="50">
        <f t="shared" ref="O58:R58" si="22">IF(O18&gt;=1,1,0)</f>
        <v>1</v>
      </c>
      <c r="P58" s="50">
        <f t="shared" si="22"/>
        <v>1</v>
      </c>
      <c r="Q58" s="50">
        <f t="shared" si="22"/>
        <v>1</v>
      </c>
      <c r="R58" s="50">
        <f t="shared" si="22"/>
        <v>1</v>
      </c>
      <c r="S58" s="327">
        <v>1.05</v>
      </c>
    </row>
    <row r="59" spans="1:19">
      <c r="A59" s="17"/>
      <c r="B59" s="18" t="s">
        <v>48</v>
      </c>
      <c r="C59" s="18"/>
      <c r="D59" s="18"/>
      <c r="E59" s="22">
        <f>SUM(E46:E49,E55:E58)</f>
        <v>264623.68</v>
      </c>
      <c r="F59" s="22">
        <f t="shared" ref="F59:I59" si="23">SUM(F46:F49,F55:F58)</f>
        <v>266379.864</v>
      </c>
      <c r="G59" s="22">
        <f t="shared" si="23"/>
        <v>268223.85719999997</v>
      </c>
      <c r="H59" s="22">
        <f t="shared" si="23"/>
        <v>270160.05005999998</v>
      </c>
      <c r="I59" s="22">
        <f t="shared" si="23"/>
        <v>272193.052563</v>
      </c>
      <c r="J59" s="19">
        <f t="shared" si="9"/>
        <v>1341580.503823</v>
      </c>
      <c r="L59" s="14"/>
      <c r="M59" s="88"/>
      <c r="N59" s="15"/>
      <c r="O59" s="15"/>
      <c r="P59" s="15"/>
      <c r="Q59" s="15"/>
      <c r="R59" s="15"/>
      <c r="S59" s="16"/>
    </row>
    <row r="60" spans="1:19" s="34" customFormat="1">
      <c r="A60" s="51" t="s">
        <v>5</v>
      </c>
      <c r="B60" s="31" t="s">
        <v>4</v>
      </c>
      <c r="C60" s="31"/>
      <c r="D60" s="31"/>
      <c r="E60" s="32">
        <f>E30+E34+E44+E59+E37</f>
        <v>457236.86461833329</v>
      </c>
      <c r="F60" s="32">
        <f t="shared" ref="F60:I60" si="24">F30+F34+F44+F59+F35+F36</f>
        <v>493161.40169850003</v>
      </c>
      <c r="G60" s="32">
        <f t="shared" si="24"/>
        <v>506244.17178342491</v>
      </c>
      <c r="H60" s="32">
        <f t="shared" si="24"/>
        <v>519981.83037259628</v>
      </c>
      <c r="I60" s="32">
        <f t="shared" si="24"/>
        <v>534405.17189122608</v>
      </c>
      <c r="J60" s="33">
        <f t="shared" si="9"/>
        <v>2511029.4403640805</v>
      </c>
      <c r="L60" s="35"/>
      <c r="M60" s="89"/>
      <c r="N60" s="52"/>
      <c r="O60" s="52"/>
      <c r="P60" s="52"/>
      <c r="Q60" s="52"/>
      <c r="R60" s="52"/>
      <c r="S60" s="53"/>
    </row>
    <row r="61" spans="1:19">
      <c r="A61" s="285"/>
      <c r="B61" s="54" t="s">
        <v>291</v>
      </c>
      <c r="C61" s="54"/>
      <c r="D61" s="55"/>
      <c r="E61" s="56">
        <f>+IF(E55&gt;=25000,E60-E57-E58-E34-E55-E44+25000*D55,E60-E57-E58-E34-E44)</f>
        <v>272113.1846183333</v>
      </c>
      <c r="F61" s="56">
        <f>+F60-F57-F34-F55-F44-F58</f>
        <v>231281.53769850003</v>
      </c>
      <c r="G61" s="56">
        <f t="shared" ref="G61:I61" si="25">+G60-G57-G34-G55-G44-G58</f>
        <v>242520.31458342494</v>
      </c>
      <c r="H61" s="56">
        <f t="shared" si="25"/>
        <v>254321.78031259627</v>
      </c>
      <c r="I61" s="56">
        <f t="shared" si="25"/>
        <v>266712.11932822608</v>
      </c>
      <c r="J61" s="57">
        <f t="shared" si="9"/>
        <v>1266948.9365410805</v>
      </c>
      <c r="L61" s="14"/>
      <c r="M61" s="88"/>
      <c r="N61" s="15"/>
      <c r="O61" s="15"/>
      <c r="P61" s="15"/>
      <c r="Q61" s="15"/>
      <c r="R61" s="15"/>
      <c r="S61" s="16"/>
    </row>
    <row r="62" spans="1:19">
      <c r="A62" s="51" t="s">
        <v>3</v>
      </c>
      <c r="B62" s="58" t="s">
        <v>2</v>
      </c>
      <c r="C62" s="58"/>
      <c r="D62" s="124"/>
      <c r="E62" s="42"/>
      <c r="F62" s="42"/>
      <c r="G62" s="42"/>
      <c r="H62" s="42"/>
      <c r="I62" s="42"/>
      <c r="J62" s="19"/>
      <c r="L62" s="35"/>
      <c r="M62" s="89"/>
      <c r="N62" s="52"/>
      <c r="O62" s="52"/>
      <c r="P62" s="52"/>
      <c r="Q62" s="52"/>
      <c r="R62" s="52"/>
      <c r="S62" s="303"/>
    </row>
    <row r="63" spans="1:19" s="34" customFormat="1">
      <c r="A63" s="315"/>
      <c r="B63" s="405" t="s">
        <v>293</v>
      </c>
      <c r="C63" s="405"/>
      <c r="D63" s="124">
        <f>VLOOKUP(B63,Fringe!$A$27:$B$35,2,0)</f>
        <v>0.55000000000000004</v>
      </c>
      <c r="E63" s="125">
        <f>+E61*$D$63</f>
        <v>149662.25154008332</v>
      </c>
      <c r="F63" s="125"/>
      <c r="G63" s="125"/>
      <c r="H63" s="125"/>
      <c r="I63" s="125"/>
      <c r="J63" s="60">
        <f t="shared" si="9"/>
        <v>149662.25154008332</v>
      </c>
      <c r="L63" s="35"/>
      <c r="M63" s="89"/>
      <c r="N63" s="52"/>
      <c r="O63" s="52"/>
      <c r="P63" s="52"/>
      <c r="Q63" s="52"/>
      <c r="R63" s="52"/>
      <c r="S63" s="303"/>
    </row>
    <row r="64" spans="1:19" s="34" customFormat="1" ht="15" thickBot="1">
      <c r="A64" s="30"/>
      <c r="B64" s="405" t="s">
        <v>294</v>
      </c>
      <c r="C64" s="405"/>
      <c r="D64" s="124">
        <f>VLOOKUP(B64,Fringe!$A$27:$B$35,2,0)</f>
        <v>0.56000000000000005</v>
      </c>
      <c r="E64" s="59"/>
      <c r="F64" s="59">
        <f>+F61*$D$64</f>
        <v>129517.66111116004</v>
      </c>
      <c r="G64" s="59">
        <f t="shared" ref="G64:I64" si="26">+G61*$D$64</f>
        <v>135811.37616671799</v>
      </c>
      <c r="H64" s="59">
        <f t="shared" si="26"/>
        <v>142420.19697505393</v>
      </c>
      <c r="I64" s="59">
        <f t="shared" si="26"/>
        <v>149358.78682380661</v>
      </c>
      <c r="J64" s="60">
        <f t="shared" si="9"/>
        <v>557108.0210767386</v>
      </c>
      <c r="L64" s="35"/>
      <c r="M64" s="89"/>
      <c r="N64" s="52"/>
      <c r="O64" s="52"/>
      <c r="P64" s="52"/>
      <c r="Q64" s="52"/>
      <c r="R64" s="52"/>
      <c r="S64" s="303"/>
    </row>
    <row r="65" spans="1:19" s="34" customFormat="1" ht="21.5" customHeight="1" thickBot="1">
      <c r="A65" s="62" t="s">
        <v>1</v>
      </c>
      <c r="B65" s="63" t="s">
        <v>0</v>
      </c>
      <c r="C65" s="63"/>
      <c r="D65" s="63"/>
      <c r="E65" s="64">
        <f>E63+E60+E64</f>
        <v>606899.11615841661</v>
      </c>
      <c r="F65" s="64">
        <f t="shared" ref="F65:I65" si="27">F63+F60+F64</f>
        <v>622679.0628096601</v>
      </c>
      <c r="G65" s="64">
        <f t="shared" si="27"/>
        <v>642055.54795014288</v>
      </c>
      <c r="H65" s="64">
        <f t="shared" si="27"/>
        <v>662402.02734765015</v>
      </c>
      <c r="I65" s="64">
        <f t="shared" si="27"/>
        <v>683763.95871503267</v>
      </c>
      <c r="J65" s="301">
        <f t="shared" si="9"/>
        <v>3217799.7129809028</v>
      </c>
      <c r="K65" s="65"/>
      <c r="L65" s="272"/>
      <c r="M65" s="304"/>
      <c r="N65" s="273"/>
      <c r="O65" s="273"/>
      <c r="P65" s="273"/>
      <c r="Q65" s="273"/>
      <c r="R65" s="273"/>
      <c r="S65" s="305"/>
    </row>
    <row r="66" spans="1:19">
      <c r="E66" s="67"/>
      <c r="F66" s="67"/>
      <c r="G66" s="67"/>
      <c r="H66" s="67"/>
      <c r="I66" s="67"/>
      <c r="J66" s="67"/>
    </row>
    <row r="67" spans="1:19">
      <c r="A67" s="24"/>
      <c r="B67" s="194" t="s">
        <v>201</v>
      </c>
      <c r="C67" s="190" t="s">
        <v>200</v>
      </c>
      <c r="D67" s="190"/>
      <c r="E67" s="129">
        <f>(E60-E57-E58-E34-E44-E55)*D63+E60-E55</f>
        <v>340649.11615841661</v>
      </c>
      <c r="F67" s="129">
        <f>(F60-F57-F58-F34-F44-F55)*$D$64+F60-F55</f>
        <v>397679.0628096601</v>
      </c>
      <c r="G67" s="129">
        <f t="shared" ref="G67:I67" si="28">(G60-G57-G58-G34-G44-G55)*$D$64+G60-G55</f>
        <v>417055.54795014288</v>
      </c>
      <c r="H67" s="129">
        <f t="shared" si="28"/>
        <v>437402.02734765015</v>
      </c>
      <c r="I67" s="129">
        <f t="shared" si="28"/>
        <v>458763.95871503267</v>
      </c>
      <c r="J67" s="129">
        <f t="shared" ref="J67:J72" si="29">SUM(E67:I67)</f>
        <v>2051549.7129809023</v>
      </c>
    </row>
    <row r="68" spans="1:19">
      <c r="A68" s="24"/>
      <c r="B68" s="190"/>
      <c r="C68" s="190" t="s">
        <v>203</v>
      </c>
      <c r="D68" s="190"/>
      <c r="E68" s="129">
        <f>25000*D55*D63</f>
        <v>41250</v>
      </c>
      <c r="F68" s="129"/>
      <c r="G68" s="129"/>
      <c r="H68" s="129"/>
      <c r="I68" s="129"/>
      <c r="J68" s="129">
        <f t="shared" si="29"/>
        <v>41250</v>
      </c>
    </row>
    <row r="69" spans="1:19">
      <c r="B69" s="191" t="s">
        <v>202</v>
      </c>
      <c r="C69" s="190" t="s">
        <v>196</v>
      </c>
      <c r="D69" s="190"/>
      <c r="E69" s="129">
        <f>+E50</f>
        <v>100000</v>
      </c>
      <c r="F69" s="129">
        <f t="shared" ref="F69:I69" si="30">+F50</f>
        <v>100000</v>
      </c>
      <c r="G69" s="129">
        <f t="shared" si="30"/>
        <v>100000</v>
      </c>
      <c r="H69" s="129">
        <f t="shared" si="30"/>
        <v>100000</v>
      </c>
      <c r="I69" s="129">
        <f t="shared" si="30"/>
        <v>100000</v>
      </c>
      <c r="J69" s="129">
        <f t="shared" si="29"/>
        <v>500000</v>
      </c>
    </row>
    <row r="70" spans="1:19">
      <c r="B70" s="191" t="s">
        <v>194</v>
      </c>
      <c r="C70" s="190" t="s">
        <v>197</v>
      </c>
      <c r="D70" s="190"/>
      <c r="E70" s="129">
        <f>+E51</f>
        <v>50000</v>
      </c>
      <c r="F70" s="129">
        <f t="shared" ref="F70:I70" si="31">+F51</f>
        <v>50000</v>
      </c>
      <c r="G70" s="129">
        <f t="shared" si="31"/>
        <v>50000</v>
      </c>
      <c r="H70" s="129">
        <f t="shared" si="31"/>
        <v>50000</v>
      </c>
      <c r="I70" s="129">
        <f t="shared" si="31"/>
        <v>50000</v>
      </c>
      <c r="J70" s="129">
        <f t="shared" si="29"/>
        <v>250000</v>
      </c>
    </row>
    <row r="71" spans="1:19">
      <c r="B71" s="191" t="s">
        <v>195</v>
      </c>
      <c r="C71" s="190" t="s">
        <v>198</v>
      </c>
      <c r="D71" s="190"/>
      <c r="E71" s="129">
        <f>+E52</f>
        <v>75000</v>
      </c>
      <c r="F71" s="129">
        <f t="shared" ref="F71:I71" si="32">+F52</f>
        <v>75000</v>
      </c>
      <c r="G71" s="129">
        <f t="shared" si="32"/>
        <v>75000</v>
      </c>
      <c r="H71" s="129">
        <f t="shared" si="32"/>
        <v>75000</v>
      </c>
      <c r="I71" s="129">
        <f t="shared" si="32"/>
        <v>75000</v>
      </c>
      <c r="J71" s="129">
        <f t="shared" si="29"/>
        <v>375000</v>
      </c>
    </row>
    <row r="72" spans="1:19" s="34" customFormat="1">
      <c r="B72" s="192" t="s">
        <v>97</v>
      </c>
      <c r="C72" s="192"/>
      <c r="D72" s="192"/>
      <c r="E72" s="193">
        <f>SUM(E67:E71)</f>
        <v>606899.11615841661</v>
      </c>
      <c r="F72" s="193">
        <f>SUM(F67:F71)</f>
        <v>622679.0628096601</v>
      </c>
      <c r="G72" s="193">
        <f>SUM(G67:G71)</f>
        <v>642055.54795014288</v>
      </c>
      <c r="H72" s="193">
        <f>SUM(H67:H71)</f>
        <v>662402.02734765015</v>
      </c>
      <c r="I72" s="193">
        <f>SUM(I67:I71)</f>
        <v>683763.95871503267</v>
      </c>
      <c r="J72" s="193">
        <f t="shared" si="29"/>
        <v>3217799.7129809028</v>
      </c>
      <c r="L72" s="66"/>
      <c r="M72" s="66"/>
    </row>
    <row r="76" spans="1:19">
      <c r="B76" s="73"/>
    </row>
  </sheetData>
  <mergeCells count="3">
    <mergeCell ref="E4:J4"/>
    <mergeCell ref="B63:C63"/>
    <mergeCell ref="B64:C64"/>
  </mergeCells>
  <phoneticPr fontId="24" type="noConversion"/>
  <pageMargins left="0.5" right="0.25" top="0.25" bottom="0.25" header="0.05" footer="0.05"/>
  <pageSetup scale="64" orientation="landscape" horizontalDpi="4294967293" verticalDpi="4294967293" r:id="rId1"/>
  <headerFooter alignWithMargins="0">
    <oddHeader>&amp;A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72B5E9-1940-42C8-85AC-8112D98A924B}">
          <x14:formula1>
            <xm:f>Fringe!$A$27:$A$35</xm:f>
          </x14:formula1>
          <xm:sqref>B63:B64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046D-6103-4B93-90B2-557615DE0F46}">
  <dimension ref="A1:U95"/>
  <sheetViews>
    <sheetView zoomScale="81" zoomScaleNormal="81" workbookViewId="0">
      <pane xSplit="3" ySplit="5" topLeftCell="D6" activePane="bottomRight" state="frozen"/>
      <selection activeCell="B18" sqref="B18"/>
      <selection pane="topRight" activeCell="B18" sqref="B18"/>
      <selection pane="bottomLeft" activeCell="B18" sqref="B18"/>
      <selection pane="bottomRight" activeCell="R3" sqref="R3"/>
    </sheetView>
  </sheetViews>
  <sheetFormatPr defaultColWidth="8.81640625" defaultRowHeight="14.5"/>
  <cols>
    <col min="1" max="1" width="3.81640625" style="2" customWidth="1"/>
    <col min="2" max="2" width="18.1796875" style="2" customWidth="1"/>
    <col min="3" max="3" width="11.36328125" style="2" customWidth="1"/>
    <col min="4" max="4" width="11.1796875" style="2" customWidth="1"/>
    <col min="5" max="7" width="13.7265625" style="2" customWidth="1"/>
    <col min="8" max="8" width="17.36328125" style="2" customWidth="1"/>
    <col min="9" max="9" width="3.81640625" style="2" customWidth="1"/>
    <col min="10" max="11" width="10.90625" style="3" customWidth="1"/>
    <col min="12" max="14" width="8" style="2" customWidth="1"/>
    <col min="15" max="15" width="7.81640625" style="2" bestFit="1" customWidth="1"/>
    <col min="16" max="16" width="3.81640625" style="2" customWidth="1"/>
    <col min="17" max="21" width="6.54296875" style="2" customWidth="1"/>
    <col min="22" max="22" width="11.54296875" style="2" bestFit="1" customWidth="1"/>
    <col min="23" max="23" width="11.453125" style="2" bestFit="1" customWidth="1"/>
    <col min="24" max="244" width="8.81640625" style="2"/>
    <col min="245" max="245" width="3.81640625" style="2" customWidth="1"/>
    <col min="246" max="246" width="8.81640625" style="2"/>
    <col min="247" max="247" width="14.453125" style="2" customWidth="1"/>
    <col min="248" max="248" width="38.7265625" style="2" customWidth="1"/>
    <col min="249" max="253" width="14" style="2" bestFit="1" customWidth="1"/>
    <col min="254" max="254" width="10.453125" style="2" bestFit="1" customWidth="1"/>
    <col min="255" max="255" width="8.81640625" style="2"/>
    <col min="256" max="256" width="11.26953125" style="2" bestFit="1" customWidth="1"/>
    <col min="257" max="257" width="5.453125" style="2" bestFit="1" customWidth="1"/>
    <col min="258" max="261" width="5" style="2" bestFit="1" customWidth="1"/>
    <col min="262" max="262" width="7.453125" style="2" bestFit="1" customWidth="1"/>
    <col min="263" max="263" width="10.453125" style="2" bestFit="1" customWidth="1"/>
    <col min="264" max="264" width="8.81640625" style="2"/>
    <col min="265" max="266" width="12.453125" style="2" bestFit="1" customWidth="1"/>
    <col min="267" max="267" width="14" style="2" bestFit="1" customWidth="1"/>
    <col min="268" max="500" width="8.81640625" style="2"/>
    <col min="501" max="501" width="3.81640625" style="2" customWidth="1"/>
    <col min="502" max="502" width="8.81640625" style="2"/>
    <col min="503" max="503" width="14.453125" style="2" customWidth="1"/>
    <col min="504" max="504" width="38.7265625" style="2" customWidth="1"/>
    <col min="505" max="509" width="14" style="2" bestFit="1" customWidth="1"/>
    <col min="510" max="510" width="10.453125" style="2" bestFit="1" customWidth="1"/>
    <col min="511" max="511" width="8.81640625" style="2"/>
    <col min="512" max="512" width="11.26953125" style="2" bestFit="1" customWidth="1"/>
    <col min="513" max="513" width="5.453125" style="2" bestFit="1" customWidth="1"/>
    <col min="514" max="517" width="5" style="2" bestFit="1" customWidth="1"/>
    <col min="518" max="518" width="7.453125" style="2" bestFit="1" customWidth="1"/>
    <col min="519" max="519" width="10.453125" style="2" bestFit="1" customWidth="1"/>
    <col min="520" max="520" width="8.81640625" style="2"/>
    <col min="521" max="522" width="12.453125" style="2" bestFit="1" customWidth="1"/>
    <col min="523" max="523" width="14" style="2" bestFit="1" customWidth="1"/>
    <col min="524" max="756" width="8.81640625" style="2"/>
    <col min="757" max="757" width="3.81640625" style="2" customWidth="1"/>
    <col min="758" max="758" width="8.81640625" style="2"/>
    <col min="759" max="759" width="14.453125" style="2" customWidth="1"/>
    <col min="760" max="760" width="38.7265625" style="2" customWidth="1"/>
    <col min="761" max="765" width="14" style="2" bestFit="1" customWidth="1"/>
    <col min="766" max="766" width="10.453125" style="2" bestFit="1" customWidth="1"/>
    <col min="767" max="767" width="8.81640625" style="2"/>
    <col min="768" max="768" width="11.26953125" style="2" bestFit="1" customWidth="1"/>
    <col min="769" max="769" width="5.453125" style="2" bestFit="1" customWidth="1"/>
    <col min="770" max="773" width="5" style="2" bestFit="1" customWidth="1"/>
    <col min="774" max="774" width="7.453125" style="2" bestFit="1" customWidth="1"/>
    <col min="775" max="775" width="10.453125" style="2" bestFit="1" customWidth="1"/>
    <col min="776" max="776" width="8.81640625" style="2"/>
    <col min="777" max="778" width="12.453125" style="2" bestFit="1" customWidth="1"/>
    <col min="779" max="779" width="14" style="2" bestFit="1" customWidth="1"/>
    <col min="780" max="1012" width="8.81640625" style="2"/>
    <col min="1013" max="1013" width="3.81640625" style="2" customWidth="1"/>
    <col min="1014" max="1014" width="8.81640625" style="2"/>
    <col min="1015" max="1015" width="14.453125" style="2" customWidth="1"/>
    <col min="1016" max="1016" width="38.7265625" style="2" customWidth="1"/>
    <col min="1017" max="1021" width="14" style="2" bestFit="1" customWidth="1"/>
    <col min="1022" max="1022" width="10.453125" style="2" bestFit="1" customWidth="1"/>
    <col min="1023" max="1023" width="8.81640625" style="2"/>
    <col min="1024" max="1024" width="11.26953125" style="2" bestFit="1" customWidth="1"/>
    <col min="1025" max="1025" width="5.453125" style="2" bestFit="1" customWidth="1"/>
    <col min="1026" max="1029" width="5" style="2" bestFit="1" customWidth="1"/>
    <col min="1030" max="1030" width="7.453125" style="2" bestFit="1" customWidth="1"/>
    <col min="1031" max="1031" width="10.453125" style="2" bestFit="1" customWidth="1"/>
    <col min="1032" max="1032" width="8.81640625" style="2"/>
    <col min="1033" max="1034" width="12.453125" style="2" bestFit="1" customWidth="1"/>
    <col min="1035" max="1035" width="14" style="2" bestFit="1" customWidth="1"/>
    <col min="1036" max="1268" width="8.81640625" style="2"/>
    <col min="1269" max="1269" width="3.81640625" style="2" customWidth="1"/>
    <col min="1270" max="1270" width="8.81640625" style="2"/>
    <col min="1271" max="1271" width="14.453125" style="2" customWidth="1"/>
    <col min="1272" max="1272" width="38.7265625" style="2" customWidth="1"/>
    <col min="1273" max="1277" width="14" style="2" bestFit="1" customWidth="1"/>
    <col min="1278" max="1278" width="10.453125" style="2" bestFit="1" customWidth="1"/>
    <col min="1279" max="1279" width="8.81640625" style="2"/>
    <col min="1280" max="1280" width="11.26953125" style="2" bestFit="1" customWidth="1"/>
    <col min="1281" max="1281" width="5.453125" style="2" bestFit="1" customWidth="1"/>
    <col min="1282" max="1285" width="5" style="2" bestFit="1" customWidth="1"/>
    <col min="1286" max="1286" width="7.453125" style="2" bestFit="1" customWidth="1"/>
    <col min="1287" max="1287" width="10.453125" style="2" bestFit="1" customWidth="1"/>
    <col min="1288" max="1288" width="8.81640625" style="2"/>
    <col min="1289" max="1290" width="12.453125" style="2" bestFit="1" customWidth="1"/>
    <col min="1291" max="1291" width="14" style="2" bestFit="1" customWidth="1"/>
    <col min="1292" max="1524" width="8.81640625" style="2"/>
    <col min="1525" max="1525" width="3.81640625" style="2" customWidth="1"/>
    <col min="1526" max="1526" width="8.81640625" style="2"/>
    <col min="1527" max="1527" width="14.453125" style="2" customWidth="1"/>
    <col min="1528" max="1528" width="38.7265625" style="2" customWidth="1"/>
    <col min="1529" max="1533" width="14" style="2" bestFit="1" customWidth="1"/>
    <col min="1534" max="1534" width="10.453125" style="2" bestFit="1" customWidth="1"/>
    <col min="1535" max="1535" width="8.81640625" style="2"/>
    <col min="1536" max="1536" width="11.26953125" style="2" bestFit="1" customWidth="1"/>
    <col min="1537" max="1537" width="5.453125" style="2" bestFit="1" customWidth="1"/>
    <col min="1538" max="1541" width="5" style="2" bestFit="1" customWidth="1"/>
    <col min="1542" max="1542" width="7.453125" style="2" bestFit="1" customWidth="1"/>
    <col min="1543" max="1543" width="10.453125" style="2" bestFit="1" customWidth="1"/>
    <col min="1544" max="1544" width="8.81640625" style="2"/>
    <col min="1545" max="1546" width="12.453125" style="2" bestFit="1" customWidth="1"/>
    <col min="1547" max="1547" width="14" style="2" bestFit="1" customWidth="1"/>
    <col min="1548" max="1780" width="8.81640625" style="2"/>
    <col min="1781" max="1781" width="3.81640625" style="2" customWidth="1"/>
    <col min="1782" max="1782" width="8.81640625" style="2"/>
    <col min="1783" max="1783" width="14.453125" style="2" customWidth="1"/>
    <col min="1784" max="1784" width="38.7265625" style="2" customWidth="1"/>
    <col min="1785" max="1789" width="14" style="2" bestFit="1" customWidth="1"/>
    <col min="1790" max="1790" width="10.453125" style="2" bestFit="1" customWidth="1"/>
    <col min="1791" max="1791" width="8.81640625" style="2"/>
    <col min="1792" max="1792" width="11.26953125" style="2" bestFit="1" customWidth="1"/>
    <col min="1793" max="1793" width="5.453125" style="2" bestFit="1" customWidth="1"/>
    <col min="1794" max="1797" width="5" style="2" bestFit="1" customWidth="1"/>
    <col min="1798" max="1798" width="7.453125" style="2" bestFit="1" customWidth="1"/>
    <col min="1799" max="1799" width="10.453125" style="2" bestFit="1" customWidth="1"/>
    <col min="1800" max="1800" width="8.81640625" style="2"/>
    <col min="1801" max="1802" width="12.453125" style="2" bestFit="1" customWidth="1"/>
    <col min="1803" max="1803" width="14" style="2" bestFit="1" customWidth="1"/>
    <col min="1804" max="2036" width="8.81640625" style="2"/>
    <col min="2037" max="2037" width="3.81640625" style="2" customWidth="1"/>
    <col min="2038" max="2038" width="8.81640625" style="2"/>
    <col min="2039" max="2039" width="14.453125" style="2" customWidth="1"/>
    <col min="2040" max="2040" width="38.7265625" style="2" customWidth="1"/>
    <col min="2041" max="2045" width="14" style="2" bestFit="1" customWidth="1"/>
    <col min="2046" max="2046" width="10.453125" style="2" bestFit="1" customWidth="1"/>
    <col min="2047" max="2047" width="8.81640625" style="2"/>
    <col min="2048" max="2048" width="11.26953125" style="2" bestFit="1" customWidth="1"/>
    <col min="2049" max="2049" width="5.453125" style="2" bestFit="1" customWidth="1"/>
    <col min="2050" max="2053" width="5" style="2" bestFit="1" customWidth="1"/>
    <col min="2054" max="2054" width="7.453125" style="2" bestFit="1" customWidth="1"/>
    <col min="2055" max="2055" width="10.453125" style="2" bestFit="1" customWidth="1"/>
    <col min="2056" max="2056" width="8.81640625" style="2"/>
    <col min="2057" max="2058" width="12.453125" style="2" bestFit="1" customWidth="1"/>
    <col min="2059" max="2059" width="14" style="2" bestFit="1" customWidth="1"/>
    <col min="2060" max="2292" width="8.81640625" style="2"/>
    <col min="2293" max="2293" width="3.81640625" style="2" customWidth="1"/>
    <col min="2294" max="2294" width="8.81640625" style="2"/>
    <col min="2295" max="2295" width="14.453125" style="2" customWidth="1"/>
    <col min="2296" max="2296" width="38.7265625" style="2" customWidth="1"/>
    <col min="2297" max="2301" width="14" style="2" bestFit="1" customWidth="1"/>
    <col min="2302" max="2302" width="10.453125" style="2" bestFit="1" customWidth="1"/>
    <col min="2303" max="2303" width="8.81640625" style="2"/>
    <col min="2304" max="2304" width="11.26953125" style="2" bestFit="1" customWidth="1"/>
    <col min="2305" max="2305" width="5.453125" style="2" bestFit="1" customWidth="1"/>
    <col min="2306" max="2309" width="5" style="2" bestFit="1" customWidth="1"/>
    <col min="2310" max="2310" width="7.453125" style="2" bestFit="1" customWidth="1"/>
    <col min="2311" max="2311" width="10.453125" style="2" bestFit="1" customWidth="1"/>
    <col min="2312" max="2312" width="8.81640625" style="2"/>
    <col min="2313" max="2314" width="12.453125" style="2" bestFit="1" customWidth="1"/>
    <col min="2315" max="2315" width="14" style="2" bestFit="1" customWidth="1"/>
    <col min="2316" max="2548" width="8.81640625" style="2"/>
    <col min="2549" max="2549" width="3.81640625" style="2" customWidth="1"/>
    <col min="2550" max="2550" width="8.81640625" style="2"/>
    <col min="2551" max="2551" width="14.453125" style="2" customWidth="1"/>
    <col min="2552" max="2552" width="38.7265625" style="2" customWidth="1"/>
    <col min="2553" max="2557" width="14" style="2" bestFit="1" customWidth="1"/>
    <col min="2558" max="2558" width="10.453125" style="2" bestFit="1" customWidth="1"/>
    <col min="2559" max="2559" width="8.81640625" style="2"/>
    <col min="2560" max="2560" width="11.26953125" style="2" bestFit="1" customWidth="1"/>
    <col min="2561" max="2561" width="5.453125" style="2" bestFit="1" customWidth="1"/>
    <col min="2562" max="2565" width="5" style="2" bestFit="1" customWidth="1"/>
    <col min="2566" max="2566" width="7.453125" style="2" bestFit="1" customWidth="1"/>
    <col min="2567" max="2567" width="10.453125" style="2" bestFit="1" customWidth="1"/>
    <col min="2568" max="2568" width="8.81640625" style="2"/>
    <col min="2569" max="2570" width="12.453125" style="2" bestFit="1" customWidth="1"/>
    <col min="2571" max="2571" width="14" style="2" bestFit="1" customWidth="1"/>
    <col min="2572" max="2804" width="8.81640625" style="2"/>
    <col min="2805" max="2805" width="3.81640625" style="2" customWidth="1"/>
    <col min="2806" max="2806" width="8.81640625" style="2"/>
    <col min="2807" max="2807" width="14.453125" style="2" customWidth="1"/>
    <col min="2808" max="2808" width="38.7265625" style="2" customWidth="1"/>
    <col min="2809" max="2813" width="14" style="2" bestFit="1" customWidth="1"/>
    <col min="2814" max="2814" width="10.453125" style="2" bestFit="1" customWidth="1"/>
    <col min="2815" max="2815" width="8.81640625" style="2"/>
    <col min="2816" max="2816" width="11.26953125" style="2" bestFit="1" customWidth="1"/>
    <col min="2817" max="2817" width="5.453125" style="2" bestFit="1" customWidth="1"/>
    <col min="2818" max="2821" width="5" style="2" bestFit="1" customWidth="1"/>
    <col min="2822" max="2822" width="7.453125" style="2" bestFit="1" customWidth="1"/>
    <col min="2823" max="2823" width="10.453125" style="2" bestFit="1" customWidth="1"/>
    <col min="2824" max="2824" width="8.81640625" style="2"/>
    <col min="2825" max="2826" width="12.453125" style="2" bestFit="1" customWidth="1"/>
    <col min="2827" max="2827" width="14" style="2" bestFit="1" customWidth="1"/>
    <col min="2828" max="3060" width="8.81640625" style="2"/>
    <col min="3061" max="3061" width="3.81640625" style="2" customWidth="1"/>
    <col min="3062" max="3062" width="8.81640625" style="2"/>
    <col min="3063" max="3063" width="14.453125" style="2" customWidth="1"/>
    <col min="3064" max="3064" width="38.7265625" style="2" customWidth="1"/>
    <col min="3065" max="3069" width="14" style="2" bestFit="1" customWidth="1"/>
    <col min="3070" max="3070" width="10.453125" style="2" bestFit="1" customWidth="1"/>
    <col min="3071" max="3071" width="8.81640625" style="2"/>
    <col min="3072" max="3072" width="11.26953125" style="2" bestFit="1" customWidth="1"/>
    <col min="3073" max="3073" width="5.453125" style="2" bestFit="1" customWidth="1"/>
    <col min="3074" max="3077" width="5" style="2" bestFit="1" customWidth="1"/>
    <col min="3078" max="3078" width="7.453125" style="2" bestFit="1" customWidth="1"/>
    <col min="3079" max="3079" width="10.453125" style="2" bestFit="1" customWidth="1"/>
    <col min="3080" max="3080" width="8.81640625" style="2"/>
    <col min="3081" max="3082" width="12.453125" style="2" bestFit="1" customWidth="1"/>
    <col min="3083" max="3083" width="14" style="2" bestFit="1" customWidth="1"/>
    <col min="3084" max="3316" width="8.81640625" style="2"/>
    <col min="3317" max="3317" width="3.81640625" style="2" customWidth="1"/>
    <col min="3318" max="3318" width="8.81640625" style="2"/>
    <col min="3319" max="3319" width="14.453125" style="2" customWidth="1"/>
    <col min="3320" max="3320" width="38.7265625" style="2" customWidth="1"/>
    <col min="3321" max="3325" width="14" style="2" bestFit="1" customWidth="1"/>
    <col min="3326" max="3326" width="10.453125" style="2" bestFit="1" customWidth="1"/>
    <col min="3327" max="3327" width="8.81640625" style="2"/>
    <col min="3328" max="3328" width="11.26953125" style="2" bestFit="1" customWidth="1"/>
    <col min="3329" max="3329" width="5.453125" style="2" bestFit="1" customWidth="1"/>
    <col min="3330" max="3333" width="5" style="2" bestFit="1" customWidth="1"/>
    <col min="3334" max="3334" width="7.453125" style="2" bestFit="1" customWidth="1"/>
    <col min="3335" max="3335" width="10.453125" style="2" bestFit="1" customWidth="1"/>
    <col min="3336" max="3336" width="8.81640625" style="2"/>
    <col min="3337" max="3338" width="12.453125" style="2" bestFit="1" customWidth="1"/>
    <col min="3339" max="3339" width="14" style="2" bestFit="1" customWidth="1"/>
    <col min="3340" max="3572" width="8.81640625" style="2"/>
    <col min="3573" max="3573" width="3.81640625" style="2" customWidth="1"/>
    <col min="3574" max="3574" width="8.81640625" style="2"/>
    <col min="3575" max="3575" width="14.453125" style="2" customWidth="1"/>
    <col min="3576" max="3576" width="38.7265625" style="2" customWidth="1"/>
    <col min="3577" max="3581" width="14" style="2" bestFit="1" customWidth="1"/>
    <col min="3582" max="3582" width="10.453125" style="2" bestFit="1" customWidth="1"/>
    <col min="3583" max="3583" width="8.81640625" style="2"/>
    <col min="3584" max="3584" width="11.26953125" style="2" bestFit="1" customWidth="1"/>
    <col min="3585" max="3585" width="5.453125" style="2" bestFit="1" customWidth="1"/>
    <col min="3586" max="3589" width="5" style="2" bestFit="1" customWidth="1"/>
    <col min="3590" max="3590" width="7.453125" style="2" bestFit="1" customWidth="1"/>
    <col min="3591" max="3591" width="10.453125" style="2" bestFit="1" customWidth="1"/>
    <col min="3592" max="3592" width="8.81640625" style="2"/>
    <col min="3593" max="3594" width="12.453125" style="2" bestFit="1" customWidth="1"/>
    <col min="3595" max="3595" width="14" style="2" bestFit="1" customWidth="1"/>
    <col min="3596" max="3828" width="8.81640625" style="2"/>
    <col min="3829" max="3829" width="3.81640625" style="2" customWidth="1"/>
    <col min="3830" max="3830" width="8.81640625" style="2"/>
    <col min="3831" max="3831" width="14.453125" style="2" customWidth="1"/>
    <col min="3832" max="3832" width="38.7265625" style="2" customWidth="1"/>
    <col min="3833" max="3837" width="14" style="2" bestFit="1" customWidth="1"/>
    <col min="3838" max="3838" width="10.453125" style="2" bestFit="1" customWidth="1"/>
    <col min="3839" max="3839" width="8.81640625" style="2"/>
    <col min="3840" max="3840" width="11.26953125" style="2" bestFit="1" customWidth="1"/>
    <col min="3841" max="3841" width="5.453125" style="2" bestFit="1" customWidth="1"/>
    <col min="3842" max="3845" width="5" style="2" bestFit="1" customWidth="1"/>
    <col min="3846" max="3846" width="7.453125" style="2" bestFit="1" customWidth="1"/>
    <col min="3847" max="3847" width="10.453125" style="2" bestFit="1" customWidth="1"/>
    <col min="3848" max="3848" width="8.81640625" style="2"/>
    <col min="3849" max="3850" width="12.453125" style="2" bestFit="1" customWidth="1"/>
    <col min="3851" max="3851" width="14" style="2" bestFit="1" customWidth="1"/>
    <col min="3852" max="4084" width="8.81640625" style="2"/>
    <col min="4085" max="4085" width="3.81640625" style="2" customWidth="1"/>
    <col min="4086" max="4086" width="8.81640625" style="2"/>
    <col min="4087" max="4087" width="14.453125" style="2" customWidth="1"/>
    <col min="4088" max="4088" width="38.7265625" style="2" customWidth="1"/>
    <col min="4089" max="4093" width="14" style="2" bestFit="1" customWidth="1"/>
    <col min="4094" max="4094" width="10.453125" style="2" bestFit="1" customWidth="1"/>
    <col min="4095" max="4095" width="8.81640625" style="2"/>
    <col min="4096" max="4096" width="11.26953125" style="2" bestFit="1" customWidth="1"/>
    <col min="4097" max="4097" width="5.453125" style="2" bestFit="1" customWidth="1"/>
    <col min="4098" max="4101" width="5" style="2" bestFit="1" customWidth="1"/>
    <col min="4102" max="4102" width="7.453125" style="2" bestFit="1" customWidth="1"/>
    <col min="4103" max="4103" width="10.453125" style="2" bestFit="1" customWidth="1"/>
    <col min="4104" max="4104" width="8.81640625" style="2"/>
    <col min="4105" max="4106" width="12.453125" style="2" bestFit="1" customWidth="1"/>
    <col min="4107" max="4107" width="14" style="2" bestFit="1" customWidth="1"/>
    <col min="4108" max="4340" width="8.81640625" style="2"/>
    <col min="4341" max="4341" width="3.81640625" style="2" customWidth="1"/>
    <col min="4342" max="4342" width="8.81640625" style="2"/>
    <col min="4343" max="4343" width="14.453125" style="2" customWidth="1"/>
    <col min="4344" max="4344" width="38.7265625" style="2" customWidth="1"/>
    <col min="4345" max="4349" width="14" style="2" bestFit="1" customWidth="1"/>
    <col min="4350" max="4350" width="10.453125" style="2" bestFit="1" customWidth="1"/>
    <col min="4351" max="4351" width="8.81640625" style="2"/>
    <col min="4352" max="4352" width="11.26953125" style="2" bestFit="1" customWidth="1"/>
    <col min="4353" max="4353" width="5.453125" style="2" bestFit="1" customWidth="1"/>
    <col min="4354" max="4357" width="5" style="2" bestFit="1" customWidth="1"/>
    <col min="4358" max="4358" width="7.453125" style="2" bestFit="1" customWidth="1"/>
    <col min="4359" max="4359" width="10.453125" style="2" bestFit="1" customWidth="1"/>
    <col min="4360" max="4360" width="8.81640625" style="2"/>
    <col min="4361" max="4362" width="12.453125" style="2" bestFit="1" customWidth="1"/>
    <col min="4363" max="4363" width="14" style="2" bestFit="1" customWidth="1"/>
    <col min="4364" max="4596" width="8.81640625" style="2"/>
    <col min="4597" max="4597" width="3.81640625" style="2" customWidth="1"/>
    <col min="4598" max="4598" width="8.81640625" style="2"/>
    <col min="4599" max="4599" width="14.453125" style="2" customWidth="1"/>
    <col min="4600" max="4600" width="38.7265625" style="2" customWidth="1"/>
    <col min="4601" max="4605" width="14" style="2" bestFit="1" customWidth="1"/>
    <col min="4606" max="4606" width="10.453125" style="2" bestFit="1" customWidth="1"/>
    <col min="4607" max="4607" width="8.81640625" style="2"/>
    <col min="4608" max="4608" width="11.26953125" style="2" bestFit="1" customWidth="1"/>
    <col min="4609" max="4609" width="5.453125" style="2" bestFit="1" customWidth="1"/>
    <col min="4610" max="4613" width="5" style="2" bestFit="1" customWidth="1"/>
    <col min="4614" max="4614" width="7.453125" style="2" bestFit="1" customWidth="1"/>
    <col min="4615" max="4615" width="10.453125" style="2" bestFit="1" customWidth="1"/>
    <col min="4616" max="4616" width="8.81640625" style="2"/>
    <col min="4617" max="4618" width="12.453125" style="2" bestFit="1" customWidth="1"/>
    <col min="4619" max="4619" width="14" style="2" bestFit="1" customWidth="1"/>
    <col min="4620" max="4852" width="8.81640625" style="2"/>
    <col min="4853" max="4853" width="3.81640625" style="2" customWidth="1"/>
    <col min="4854" max="4854" width="8.81640625" style="2"/>
    <col min="4855" max="4855" width="14.453125" style="2" customWidth="1"/>
    <col min="4856" max="4856" width="38.7265625" style="2" customWidth="1"/>
    <col min="4857" max="4861" width="14" style="2" bestFit="1" customWidth="1"/>
    <col min="4862" max="4862" width="10.453125" style="2" bestFit="1" customWidth="1"/>
    <col min="4863" max="4863" width="8.81640625" style="2"/>
    <col min="4864" max="4864" width="11.26953125" style="2" bestFit="1" customWidth="1"/>
    <col min="4865" max="4865" width="5.453125" style="2" bestFit="1" customWidth="1"/>
    <col min="4866" max="4869" width="5" style="2" bestFit="1" customWidth="1"/>
    <col min="4870" max="4870" width="7.453125" style="2" bestFit="1" customWidth="1"/>
    <col min="4871" max="4871" width="10.453125" style="2" bestFit="1" customWidth="1"/>
    <col min="4872" max="4872" width="8.81640625" style="2"/>
    <col min="4873" max="4874" width="12.453125" style="2" bestFit="1" customWidth="1"/>
    <col min="4875" max="4875" width="14" style="2" bestFit="1" customWidth="1"/>
    <col min="4876" max="5108" width="8.81640625" style="2"/>
    <col min="5109" max="5109" width="3.81640625" style="2" customWidth="1"/>
    <col min="5110" max="5110" width="8.81640625" style="2"/>
    <col min="5111" max="5111" width="14.453125" style="2" customWidth="1"/>
    <col min="5112" max="5112" width="38.7265625" style="2" customWidth="1"/>
    <col min="5113" max="5117" width="14" style="2" bestFit="1" customWidth="1"/>
    <col min="5118" max="5118" width="10.453125" style="2" bestFit="1" customWidth="1"/>
    <col min="5119" max="5119" width="8.81640625" style="2"/>
    <col min="5120" max="5120" width="11.26953125" style="2" bestFit="1" customWidth="1"/>
    <col min="5121" max="5121" width="5.453125" style="2" bestFit="1" customWidth="1"/>
    <col min="5122" max="5125" width="5" style="2" bestFit="1" customWidth="1"/>
    <col min="5126" max="5126" width="7.453125" style="2" bestFit="1" customWidth="1"/>
    <col min="5127" max="5127" width="10.453125" style="2" bestFit="1" customWidth="1"/>
    <col min="5128" max="5128" width="8.81640625" style="2"/>
    <col min="5129" max="5130" width="12.453125" style="2" bestFit="1" customWidth="1"/>
    <col min="5131" max="5131" width="14" style="2" bestFit="1" customWidth="1"/>
    <col min="5132" max="5364" width="8.81640625" style="2"/>
    <col min="5365" max="5365" width="3.81640625" style="2" customWidth="1"/>
    <col min="5366" max="5366" width="8.81640625" style="2"/>
    <col min="5367" max="5367" width="14.453125" style="2" customWidth="1"/>
    <col min="5368" max="5368" width="38.7265625" style="2" customWidth="1"/>
    <col min="5369" max="5373" width="14" style="2" bestFit="1" customWidth="1"/>
    <col min="5374" max="5374" width="10.453125" style="2" bestFit="1" customWidth="1"/>
    <col min="5375" max="5375" width="8.81640625" style="2"/>
    <col min="5376" max="5376" width="11.26953125" style="2" bestFit="1" customWidth="1"/>
    <col min="5377" max="5377" width="5.453125" style="2" bestFit="1" customWidth="1"/>
    <col min="5378" max="5381" width="5" style="2" bestFit="1" customWidth="1"/>
    <col min="5382" max="5382" width="7.453125" style="2" bestFit="1" customWidth="1"/>
    <col min="5383" max="5383" width="10.453125" style="2" bestFit="1" customWidth="1"/>
    <col min="5384" max="5384" width="8.81640625" style="2"/>
    <col min="5385" max="5386" width="12.453125" style="2" bestFit="1" customWidth="1"/>
    <col min="5387" max="5387" width="14" style="2" bestFit="1" customWidth="1"/>
    <col min="5388" max="5620" width="8.81640625" style="2"/>
    <col min="5621" max="5621" width="3.81640625" style="2" customWidth="1"/>
    <col min="5622" max="5622" width="8.81640625" style="2"/>
    <col min="5623" max="5623" width="14.453125" style="2" customWidth="1"/>
    <col min="5624" max="5624" width="38.7265625" style="2" customWidth="1"/>
    <col min="5625" max="5629" width="14" style="2" bestFit="1" customWidth="1"/>
    <col min="5630" max="5630" width="10.453125" style="2" bestFit="1" customWidth="1"/>
    <col min="5631" max="5631" width="8.81640625" style="2"/>
    <col min="5632" max="5632" width="11.26953125" style="2" bestFit="1" customWidth="1"/>
    <col min="5633" max="5633" width="5.453125" style="2" bestFit="1" customWidth="1"/>
    <col min="5634" max="5637" width="5" style="2" bestFit="1" customWidth="1"/>
    <col min="5638" max="5638" width="7.453125" style="2" bestFit="1" customWidth="1"/>
    <col min="5639" max="5639" width="10.453125" style="2" bestFit="1" customWidth="1"/>
    <col min="5640" max="5640" width="8.81640625" style="2"/>
    <col min="5641" max="5642" width="12.453125" style="2" bestFit="1" customWidth="1"/>
    <col min="5643" max="5643" width="14" style="2" bestFit="1" customWidth="1"/>
    <col min="5644" max="5876" width="8.81640625" style="2"/>
    <col min="5877" max="5877" width="3.81640625" style="2" customWidth="1"/>
    <col min="5878" max="5878" width="8.81640625" style="2"/>
    <col min="5879" max="5879" width="14.453125" style="2" customWidth="1"/>
    <col min="5880" max="5880" width="38.7265625" style="2" customWidth="1"/>
    <col min="5881" max="5885" width="14" style="2" bestFit="1" customWidth="1"/>
    <col min="5886" max="5886" width="10.453125" style="2" bestFit="1" customWidth="1"/>
    <col min="5887" max="5887" width="8.81640625" style="2"/>
    <col min="5888" max="5888" width="11.26953125" style="2" bestFit="1" customWidth="1"/>
    <col min="5889" max="5889" width="5.453125" style="2" bestFit="1" customWidth="1"/>
    <col min="5890" max="5893" width="5" style="2" bestFit="1" customWidth="1"/>
    <col min="5894" max="5894" width="7.453125" style="2" bestFit="1" customWidth="1"/>
    <col min="5895" max="5895" width="10.453125" style="2" bestFit="1" customWidth="1"/>
    <col min="5896" max="5896" width="8.81640625" style="2"/>
    <col min="5897" max="5898" width="12.453125" style="2" bestFit="1" customWidth="1"/>
    <col min="5899" max="5899" width="14" style="2" bestFit="1" customWidth="1"/>
    <col min="5900" max="6132" width="8.81640625" style="2"/>
    <col min="6133" max="6133" width="3.81640625" style="2" customWidth="1"/>
    <col min="6134" max="6134" width="8.81640625" style="2"/>
    <col min="6135" max="6135" width="14.453125" style="2" customWidth="1"/>
    <col min="6136" max="6136" width="38.7265625" style="2" customWidth="1"/>
    <col min="6137" max="6141" width="14" style="2" bestFit="1" customWidth="1"/>
    <col min="6142" max="6142" width="10.453125" style="2" bestFit="1" customWidth="1"/>
    <col min="6143" max="6143" width="8.81640625" style="2"/>
    <col min="6144" max="6144" width="11.26953125" style="2" bestFit="1" customWidth="1"/>
    <col min="6145" max="6145" width="5.453125" style="2" bestFit="1" customWidth="1"/>
    <col min="6146" max="6149" width="5" style="2" bestFit="1" customWidth="1"/>
    <col min="6150" max="6150" width="7.453125" style="2" bestFit="1" customWidth="1"/>
    <col min="6151" max="6151" width="10.453125" style="2" bestFit="1" customWidth="1"/>
    <col min="6152" max="6152" width="8.81640625" style="2"/>
    <col min="6153" max="6154" width="12.453125" style="2" bestFit="1" customWidth="1"/>
    <col min="6155" max="6155" width="14" style="2" bestFit="1" customWidth="1"/>
    <col min="6156" max="6388" width="8.81640625" style="2"/>
    <col min="6389" max="6389" width="3.81640625" style="2" customWidth="1"/>
    <col min="6390" max="6390" width="8.81640625" style="2"/>
    <col min="6391" max="6391" width="14.453125" style="2" customWidth="1"/>
    <col min="6392" max="6392" width="38.7265625" style="2" customWidth="1"/>
    <col min="6393" max="6397" width="14" style="2" bestFit="1" customWidth="1"/>
    <col min="6398" max="6398" width="10.453125" style="2" bestFit="1" customWidth="1"/>
    <col min="6399" max="6399" width="8.81640625" style="2"/>
    <col min="6400" max="6400" width="11.26953125" style="2" bestFit="1" customWidth="1"/>
    <col min="6401" max="6401" width="5.453125" style="2" bestFit="1" customWidth="1"/>
    <col min="6402" max="6405" width="5" style="2" bestFit="1" customWidth="1"/>
    <col min="6406" max="6406" width="7.453125" style="2" bestFit="1" customWidth="1"/>
    <col min="6407" max="6407" width="10.453125" style="2" bestFit="1" customWidth="1"/>
    <col min="6408" max="6408" width="8.81640625" style="2"/>
    <col min="6409" max="6410" width="12.453125" style="2" bestFit="1" customWidth="1"/>
    <col min="6411" max="6411" width="14" style="2" bestFit="1" customWidth="1"/>
    <col min="6412" max="6644" width="8.81640625" style="2"/>
    <col min="6645" max="6645" width="3.81640625" style="2" customWidth="1"/>
    <col min="6646" max="6646" width="8.81640625" style="2"/>
    <col min="6647" max="6647" width="14.453125" style="2" customWidth="1"/>
    <col min="6648" max="6648" width="38.7265625" style="2" customWidth="1"/>
    <col min="6649" max="6653" width="14" style="2" bestFit="1" customWidth="1"/>
    <col min="6654" max="6654" width="10.453125" style="2" bestFit="1" customWidth="1"/>
    <col min="6655" max="6655" width="8.81640625" style="2"/>
    <col min="6656" max="6656" width="11.26953125" style="2" bestFit="1" customWidth="1"/>
    <col min="6657" max="6657" width="5.453125" style="2" bestFit="1" customWidth="1"/>
    <col min="6658" max="6661" width="5" style="2" bestFit="1" customWidth="1"/>
    <col min="6662" max="6662" width="7.453125" style="2" bestFit="1" customWidth="1"/>
    <col min="6663" max="6663" width="10.453125" style="2" bestFit="1" customWidth="1"/>
    <col min="6664" max="6664" width="8.81640625" style="2"/>
    <col min="6665" max="6666" width="12.453125" style="2" bestFit="1" customWidth="1"/>
    <col min="6667" max="6667" width="14" style="2" bestFit="1" customWidth="1"/>
    <col min="6668" max="6900" width="8.81640625" style="2"/>
    <col min="6901" max="6901" width="3.81640625" style="2" customWidth="1"/>
    <col min="6902" max="6902" width="8.81640625" style="2"/>
    <col min="6903" max="6903" width="14.453125" style="2" customWidth="1"/>
    <col min="6904" max="6904" width="38.7265625" style="2" customWidth="1"/>
    <col min="6905" max="6909" width="14" style="2" bestFit="1" customWidth="1"/>
    <col min="6910" max="6910" width="10.453125" style="2" bestFit="1" customWidth="1"/>
    <col min="6911" max="6911" width="8.81640625" style="2"/>
    <col min="6912" max="6912" width="11.26953125" style="2" bestFit="1" customWidth="1"/>
    <col min="6913" max="6913" width="5.453125" style="2" bestFit="1" customWidth="1"/>
    <col min="6914" max="6917" width="5" style="2" bestFit="1" customWidth="1"/>
    <col min="6918" max="6918" width="7.453125" style="2" bestFit="1" customWidth="1"/>
    <col min="6919" max="6919" width="10.453125" style="2" bestFit="1" customWidth="1"/>
    <col min="6920" max="6920" width="8.81640625" style="2"/>
    <col min="6921" max="6922" width="12.453125" style="2" bestFit="1" customWidth="1"/>
    <col min="6923" max="6923" width="14" style="2" bestFit="1" customWidth="1"/>
    <col min="6924" max="7156" width="8.81640625" style="2"/>
    <col min="7157" max="7157" width="3.81640625" style="2" customWidth="1"/>
    <col min="7158" max="7158" width="8.81640625" style="2"/>
    <col min="7159" max="7159" width="14.453125" style="2" customWidth="1"/>
    <col min="7160" max="7160" width="38.7265625" style="2" customWidth="1"/>
    <col min="7161" max="7165" width="14" style="2" bestFit="1" customWidth="1"/>
    <col min="7166" max="7166" width="10.453125" style="2" bestFit="1" customWidth="1"/>
    <col min="7167" max="7167" width="8.81640625" style="2"/>
    <col min="7168" max="7168" width="11.26953125" style="2" bestFit="1" customWidth="1"/>
    <col min="7169" max="7169" width="5.453125" style="2" bestFit="1" customWidth="1"/>
    <col min="7170" max="7173" width="5" style="2" bestFit="1" customWidth="1"/>
    <col min="7174" max="7174" width="7.453125" style="2" bestFit="1" customWidth="1"/>
    <col min="7175" max="7175" width="10.453125" style="2" bestFit="1" customWidth="1"/>
    <col min="7176" max="7176" width="8.81640625" style="2"/>
    <col min="7177" max="7178" width="12.453125" style="2" bestFit="1" customWidth="1"/>
    <col min="7179" max="7179" width="14" style="2" bestFit="1" customWidth="1"/>
    <col min="7180" max="7412" width="8.81640625" style="2"/>
    <col min="7413" max="7413" width="3.81640625" style="2" customWidth="1"/>
    <col min="7414" max="7414" width="8.81640625" style="2"/>
    <col min="7415" max="7415" width="14.453125" style="2" customWidth="1"/>
    <col min="7416" max="7416" width="38.7265625" style="2" customWidth="1"/>
    <col min="7417" max="7421" width="14" style="2" bestFit="1" customWidth="1"/>
    <col min="7422" max="7422" width="10.453125" style="2" bestFit="1" customWidth="1"/>
    <col min="7423" max="7423" width="8.81640625" style="2"/>
    <col min="7424" max="7424" width="11.26953125" style="2" bestFit="1" customWidth="1"/>
    <col min="7425" max="7425" width="5.453125" style="2" bestFit="1" customWidth="1"/>
    <col min="7426" max="7429" width="5" style="2" bestFit="1" customWidth="1"/>
    <col min="7430" max="7430" width="7.453125" style="2" bestFit="1" customWidth="1"/>
    <col min="7431" max="7431" width="10.453125" style="2" bestFit="1" customWidth="1"/>
    <col min="7432" max="7432" width="8.81640625" style="2"/>
    <col min="7433" max="7434" width="12.453125" style="2" bestFit="1" customWidth="1"/>
    <col min="7435" max="7435" width="14" style="2" bestFit="1" customWidth="1"/>
    <col min="7436" max="7668" width="8.81640625" style="2"/>
    <col min="7669" max="7669" width="3.81640625" style="2" customWidth="1"/>
    <col min="7670" max="7670" width="8.81640625" style="2"/>
    <col min="7671" max="7671" width="14.453125" style="2" customWidth="1"/>
    <col min="7672" max="7672" width="38.7265625" style="2" customWidth="1"/>
    <col min="7673" max="7677" width="14" style="2" bestFit="1" customWidth="1"/>
    <col min="7678" max="7678" width="10.453125" style="2" bestFit="1" customWidth="1"/>
    <col min="7679" max="7679" width="8.81640625" style="2"/>
    <col min="7680" max="7680" width="11.26953125" style="2" bestFit="1" customWidth="1"/>
    <col min="7681" max="7681" width="5.453125" style="2" bestFit="1" customWidth="1"/>
    <col min="7682" max="7685" width="5" style="2" bestFit="1" customWidth="1"/>
    <col min="7686" max="7686" width="7.453125" style="2" bestFit="1" customWidth="1"/>
    <col min="7687" max="7687" width="10.453125" style="2" bestFit="1" customWidth="1"/>
    <col min="7688" max="7688" width="8.81640625" style="2"/>
    <col min="7689" max="7690" width="12.453125" style="2" bestFit="1" customWidth="1"/>
    <col min="7691" max="7691" width="14" style="2" bestFit="1" customWidth="1"/>
    <col min="7692" max="7924" width="8.81640625" style="2"/>
    <col min="7925" max="7925" width="3.81640625" style="2" customWidth="1"/>
    <col min="7926" max="7926" width="8.81640625" style="2"/>
    <col min="7927" max="7927" width="14.453125" style="2" customWidth="1"/>
    <col min="7928" max="7928" width="38.7265625" style="2" customWidth="1"/>
    <col min="7929" max="7933" width="14" style="2" bestFit="1" customWidth="1"/>
    <col min="7934" max="7934" width="10.453125" style="2" bestFit="1" customWidth="1"/>
    <col min="7935" max="7935" width="8.81640625" style="2"/>
    <col min="7936" max="7936" width="11.26953125" style="2" bestFit="1" customWidth="1"/>
    <col min="7937" max="7937" width="5.453125" style="2" bestFit="1" customWidth="1"/>
    <col min="7938" max="7941" width="5" style="2" bestFit="1" customWidth="1"/>
    <col min="7942" max="7942" width="7.453125" style="2" bestFit="1" customWidth="1"/>
    <col min="7943" max="7943" width="10.453125" style="2" bestFit="1" customWidth="1"/>
    <col min="7944" max="7944" width="8.81640625" style="2"/>
    <col min="7945" max="7946" width="12.453125" style="2" bestFit="1" customWidth="1"/>
    <col min="7947" max="7947" width="14" style="2" bestFit="1" customWidth="1"/>
    <col min="7948" max="8180" width="8.81640625" style="2"/>
    <col min="8181" max="8181" width="3.81640625" style="2" customWidth="1"/>
    <col min="8182" max="8182" width="8.81640625" style="2"/>
    <col min="8183" max="8183" width="14.453125" style="2" customWidth="1"/>
    <col min="8184" max="8184" width="38.7265625" style="2" customWidth="1"/>
    <col min="8185" max="8189" width="14" style="2" bestFit="1" customWidth="1"/>
    <col min="8190" max="8190" width="10.453125" style="2" bestFit="1" customWidth="1"/>
    <col min="8191" max="8191" width="8.81640625" style="2"/>
    <col min="8192" max="8192" width="11.26953125" style="2" bestFit="1" customWidth="1"/>
    <col min="8193" max="8193" width="5.453125" style="2" bestFit="1" customWidth="1"/>
    <col min="8194" max="8197" width="5" style="2" bestFit="1" customWidth="1"/>
    <col min="8198" max="8198" width="7.453125" style="2" bestFit="1" customWidth="1"/>
    <col min="8199" max="8199" width="10.453125" style="2" bestFit="1" customWidth="1"/>
    <col min="8200" max="8200" width="8.81640625" style="2"/>
    <col min="8201" max="8202" width="12.453125" style="2" bestFit="1" customWidth="1"/>
    <col min="8203" max="8203" width="14" style="2" bestFit="1" customWidth="1"/>
    <col min="8204" max="8436" width="8.81640625" style="2"/>
    <col min="8437" max="8437" width="3.81640625" style="2" customWidth="1"/>
    <col min="8438" max="8438" width="8.81640625" style="2"/>
    <col min="8439" max="8439" width="14.453125" style="2" customWidth="1"/>
    <col min="8440" max="8440" width="38.7265625" style="2" customWidth="1"/>
    <col min="8441" max="8445" width="14" style="2" bestFit="1" customWidth="1"/>
    <col min="8446" max="8446" width="10.453125" style="2" bestFit="1" customWidth="1"/>
    <col min="8447" max="8447" width="8.81640625" style="2"/>
    <col min="8448" max="8448" width="11.26953125" style="2" bestFit="1" customWidth="1"/>
    <col min="8449" max="8449" width="5.453125" style="2" bestFit="1" customWidth="1"/>
    <col min="8450" max="8453" width="5" style="2" bestFit="1" customWidth="1"/>
    <col min="8454" max="8454" width="7.453125" style="2" bestFit="1" customWidth="1"/>
    <col min="8455" max="8455" width="10.453125" style="2" bestFit="1" customWidth="1"/>
    <col min="8456" max="8456" width="8.81640625" style="2"/>
    <col min="8457" max="8458" width="12.453125" style="2" bestFit="1" customWidth="1"/>
    <col min="8459" max="8459" width="14" style="2" bestFit="1" customWidth="1"/>
    <col min="8460" max="8692" width="8.81640625" style="2"/>
    <col min="8693" max="8693" width="3.81640625" style="2" customWidth="1"/>
    <col min="8694" max="8694" width="8.81640625" style="2"/>
    <col min="8695" max="8695" width="14.453125" style="2" customWidth="1"/>
    <col min="8696" max="8696" width="38.7265625" style="2" customWidth="1"/>
    <col min="8697" max="8701" width="14" style="2" bestFit="1" customWidth="1"/>
    <col min="8702" max="8702" width="10.453125" style="2" bestFit="1" customWidth="1"/>
    <col min="8703" max="8703" width="8.81640625" style="2"/>
    <col min="8704" max="8704" width="11.26953125" style="2" bestFit="1" customWidth="1"/>
    <col min="8705" max="8705" width="5.453125" style="2" bestFit="1" customWidth="1"/>
    <col min="8706" max="8709" width="5" style="2" bestFit="1" customWidth="1"/>
    <col min="8710" max="8710" width="7.453125" style="2" bestFit="1" customWidth="1"/>
    <col min="8711" max="8711" width="10.453125" style="2" bestFit="1" customWidth="1"/>
    <col min="8712" max="8712" width="8.81640625" style="2"/>
    <col min="8713" max="8714" width="12.453125" style="2" bestFit="1" customWidth="1"/>
    <col min="8715" max="8715" width="14" style="2" bestFit="1" customWidth="1"/>
    <col min="8716" max="8948" width="8.81640625" style="2"/>
    <col min="8949" max="8949" width="3.81640625" style="2" customWidth="1"/>
    <col min="8950" max="8950" width="8.81640625" style="2"/>
    <col min="8951" max="8951" width="14.453125" style="2" customWidth="1"/>
    <col min="8952" max="8952" width="38.7265625" style="2" customWidth="1"/>
    <col min="8953" max="8957" width="14" style="2" bestFit="1" customWidth="1"/>
    <col min="8958" max="8958" width="10.453125" style="2" bestFit="1" customWidth="1"/>
    <col min="8959" max="8959" width="8.81640625" style="2"/>
    <col min="8960" max="8960" width="11.26953125" style="2" bestFit="1" customWidth="1"/>
    <col min="8961" max="8961" width="5.453125" style="2" bestFit="1" customWidth="1"/>
    <col min="8962" max="8965" width="5" style="2" bestFit="1" customWidth="1"/>
    <col min="8966" max="8966" width="7.453125" style="2" bestFit="1" customWidth="1"/>
    <col min="8967" max="8967" width="10.453125" style="2" bestFit="1" customWidth="1"/>
    <col min="8968" max="8968" width="8.81640625" style="2"/>
    <col min="8969" max="8970" width="12.453125" style="2" bestFit="1" customWidth="1"/>
    <col min="8971" max="8971" width="14" style="2" bestFit="1" customWidth="1"/>
    <col min="8972" max="9204" width="8.81640625" style="2"/>
    <col min="9205" max="9205" width="3.81640625" style="2" customWidth="1"/>
    <col min="9206" max="9206" width="8.81640625" style="2"/>
    <col min="9207" max="9207" width="14.453125" style="2" customWidth="1"/>
    <col min="9208" max="9208" width="38.7265625" style="2" customWidth="1"/>
    <col min="9209" max="9213" width="14" style="2" bestFit="1" customWidth="1"/>
    <col min="9214" max="9214" width="10.453125" style="2" bestFit="1" customWidth="1"/>
    <col min="9215" max="9215" width="8.81640625" style="2"/>
    <col min="9216" max="9216" width="11.26953125" style="2" bestFit="1" customWidth="1"/>
    <col min="9217" max="9217" width="5.453125" style="2" bestFit="1" customWidth="1"/>
    <col min="9218" max="9221" width="5" style="2" bestFit="1" customWidth="1"/>
    <col min="9222" max="9222" width="7.453125" style="2" bestFit="1" customWidth="1"/>
    <col min="9223" max="9223" width="10.453125" style="2" bestFit="1" customWidth="1"/>
    <col min="9224" max="9224" width="8.81640625" style="2"/>
    <col min="9225" max="9226" width="12.453125" style="2" bestFit="1" customWidth="1"/>
    <col min="9227" max="9227" width="14" style="2" bestFit="1" customWidth="1"/>
    <col min="9228" max="9460" width="8.81640625" style="2"/>
    <col min="9461" max="9461" width="3.81640625" style="2" customWidth="1"/>
    <col min="9462" max="9462" width="8.81640625" style="2"/>
    <col min="9463" max="9463" width="14.453125" style="2" customWidth="1"/>
    <col min="9464" max="9464" width="38.7265625" style="2" customWidth="1"/>
    <col min="9465" max="9469" width="14" style="2" bestFit="1" customWidth="1"/>
    <col min="9470" max="9470" width="10.453125" style="2" bestFit="1" customWidth="1"/>
    <col min="9471" max="9471" width="8.81640625" style="2"/>
    <col min="9472" max="9472" width="11.26953125" style="2" bestFit="1" customWidth="1"/>
    <col min="9473" max="9473" width="5.453125" style="2" bestFit="1" customWidth="1"/>
    <col min="9474" max="9477" width="5" style="2" bestFit="1" customWidth="1"/>
    <col min="9478" max="9478" width="7.453125" style="2" bestFit="1" customWidth="1"/>
    <col min="9479" max="9479" width="10.453125" style="2" bestFit="1" customWidth="1"/>
    <col min="9480" max="9480" width="8.81640625" style="2"/>
    <col min="9481" max="9482" width="12.453125" style="2" bestFit="1" customWidth="1"/>
    <col min="9483" max="9483" width="14" style="2" bestFit="1" customWidth="1"/>
    <col min="9484" max="9716" width="8.81640625" style="2"/>
    <col min="9717" max="9717" width="3.81640625" style="2" customWidth="1"/>
    <col min="9718" max="9718" width="8.81640625" style="2"/>
    <col min="9719" max="9719" width="14.453125" style="2" customWidth="1"/>
    <col min="9720" max="9720" width="38.7265625" style="2" customWidth="1"/>
    <col min="9721" max="9725" width="14" style="2" bestFit="1" customWidth="1"/>
    <col min="9726" max="9726" width="10.453125" style="2" bestFit="1" customWidth="1"/>
    <col min="9727" max="9727" width="8.81640625" style="2"/>
    <col min="9728" max="9728" width="11.26953125" style="2" bestFit="1" customWidth="1"/>
    <col min="9729" max="9729" width="5.453125" style="2" bestFit="1" customWidth="1"/>
    <col min="9730" max="9733" width="5" style="2" bestFit="1" customWidth="1"/>
    <col min="9734" max="9734" width="7.453125" style="2" bestFit="1" customWidth="1"/>
    <col min="9735" max="9735" width="10.453125" style="2" bestFit="1" customWidth="1"/>
    <col min="9736" max="9736" width="8.81640625" style="2"/>
    <col min="9737" max="9738" width="12.453125" style="2" bestFit="1" customWidth="1"/>
    <col min="9739" max="9739" width="14" style="2" bestFit="1" customWidth="1"/>
    <col min="9740" max="9972" width="8.81640625" style="2"/>
    <col min="9973" max="9973" width="3.81640625" style="2" customWidth="1"/>
    <col min="9974" max="9974" width="8.81640625" style="2"/>
    <col min="9975" max="9975" width="14.453125" style="2" customWidth="1"/>
    <col min="9976" max="9976" width="38.7265625" style="2" customWidth="1"/>
    <col min="9977" max="9981" width="14" style="2" bestFit="1" customWidth="1"/>
    <col min="9982" max="9982" width="10.453125" style="2" bestFit="1" customWidth="1"/>
    <col min="9983" max="9983" width="8.81640625" style="2"/>
    <col min="9984" max="9984" width="11.26953125" style="2" bestFit="1" customWidth="1"/>
    <col min="9985" max="9985" width="5.453125" style="2" bestFit="1" customWidth="1"/>
    <col min="9986" max="9989" width="5" style="2" bestFit="1" customWidth="1"/>
    <col min="9990" max="9990" width="7.453125" style="2" bestFit="1" customWidth="1"/>
    <col min="9991" max="9991" width="10.453125" style="2" bestFit="1" customWidth="1"/>
    <col min="9992" max="9992" width="8.81640625" style="2"/>
    <col min="9993" max="9994" width="12.453125" style="2" bestFit="1" customWidth="1"/>
    <col min="9995" max="9995" width="14" style="2" bestFit="1" customWidth="1"/>
    <col min="9996" max="10228" width="8.81640625" style="2"/>
    <col min="10229" max="10229" width="3.81640625" style="2" customWidth="1"/>
    <col min="10230" max="10230" width="8.81640625" style="2"/>
    <col min="10231" max="10231" width="14.453125" style="2" customWidth="1"/>
    <col min="10232" max="10232" width="38.7265625" style="2" customWidth="1"/>
    <col min="10233" max="10237" width="14" style="2" bestFit="1" customWidth="1"/>
    <col min="10238" max="10238" width="10.453125" style="2" bestFit="1" customWidth="1"/>
    <col min="10239" max="10239" width="8.81640625" style="2"/>
    <col min="10240" max="10240" width="11.26953125" style="2" bestFit="1" customWidth="1"/>
    <col min="10241" max="10241" width="5.453125" style="2" bestFit="1" customWidth="1"/>
    <col min="10242" max="10245" width="5" style="2" bestFit="1" customWidth="1"/>
    <col min="10246" max="10246" width="7.453125" style="2" bestFit="1" customWidth="1"/>
    <col min="10247" max="10247" width="10.453125" style="2" bestFit="1" customWidth="1"/>
    <col min="10248" max="10248" width="8.81640625" style="2"/>
    <col min="10249" max="10250" width="12.453125" style="2" bestFit="1" customWidth="1"/>
    <col min="10251" max="10251" width="14" style="2" bestFit="1" customWidth="1"/>
    <col min="10252" max="10484" width="8.81640625" style="2"/>
    <col min="10485" max="10485" width="3.81640625" style="2" customWidth="1"/>
    <col min="10486" max="10486" width="8.81640625" style="2"/>
    <col min="10487" max="10487" width="14.453125" style="2" customWidth="1"/>
    <col min="10488" max="10488" width="38.7265625" style="2" customWidth="1"/>
    <col min="10489" max="10493" width="14" style="2" bestFit="1" customWidth="1"/>
    <col min="10494" max="10494" width="10.453125" style="2" bestFit="1" customWidth="1"/>
    <col min="10495" max="10495" width="8.81640625" style="2"/>
    <col min="10496" max="10496" width="11.26953125" style="2" bestFit="1" customWidth="1"/>
    <col min="10497" max="10497" width="5.453125" style="2" bestFit="1" customWidth="1"/>
    <col min="10498" max="10501" width="5" style="2" bestFit="1" customWidth="1"/>
    <col min="10502" max="10502" width="7.453125" style="2" bestFit="1" customWidth="1"/>
    <col min="10503" max="10503" width="10.453125" style="2" bestFit="1" customWidth="1"/>
    <col min="10504" max="10504" width="8.81640625" style="2"/>
    <col min="10505" max="10506" width="12.453125" style="2" bestFit="1" customWidth="1"/>
    <col min="10507" max="10507" width="14" style="2" bestFit="1" customWidth="1"/>
    <col min="10508" max="10740" width="8.81640625" style="2"/>
    <col min="10741" max="10741" width="3.81640625" style="2" customWidth="1"/>
    <col min="10742" max="10742" width="8.81640625" style="2"/>
    <col min="10743" max="10743" width="14.453125" style="2" customWidth="1"/>
    <col min="10744" max="10744" width="38.7265625" style="2" customWidth="1"/>
    <col min="10745" max="10749" width="14" style="2" bestFit="1" customWidth="1"/>
    <col min="10750" max="10750" width="10.453125" style="2" bestFit="1" customWidth="1"/>
    <col min="10751" max="10751" width="8.81640625" style="2"/>
    <col min="10752" max="10752" width="11.26953125" style="2" bestFit="1" customWidth="1"/>
    <col min="10753" max="10753" width="5.453125" style="2" bestFit="1" customWidth="1"/>
    <col min="10754" max="10757" width="5" style="2" bestFit="1" customWidth="1"/>
    <col min="10758" max="10758" width="7.453125" style="2" bestFit="1" customWidth="1"/>
    <col min="10759" max="10759" width="10.453125" style="2" bestFit="1" customWidth="1"/>
    <col min="10760" max="10760" width="8.81640625" style="2"/>
    <col min="10761" max="10762" width="12.453125" style="2" bestFit="1" customWidth="1"/>
    <col min="10763" max="10763" width="14" style="2" bestFit="1" customWidth="1"/>
    <col min="10764" max="10996" width="8.81640625" style="2"/>
    <col min="10997" max="10997" width="3.81640625" style="2" customWidth="1"/>
    <col min="10998" max="10998" width="8.81640625" style="2"/>
    <col min="10999" max="10999" width="14.453125" style="2" customWidth="1"/>
    <col min="11000" max="11000" width="38.7265625" style="2" customWidth="1"/>
    <col min="11001" max="11005" width="14" style="2" bestFit="1" customWidth="1"/>
    <col min="11006" max="11006" width="10.453125" style="2" bestFit="1" customWidth="1"/>
    <col min="11007" max="11007" width="8.81640625" style="2"/>
    <col min="11008" max="11008" width="11.26953125" style="2" bestFit="1" customWidth="1"/>
    <col min="11009" max="11009" width="5.453125" style="2" bestFit="1" customWidth="1"/>
    <col min="11010" max="11013" width="5" style="2" bestFit="1" customWidth="1"/>
    <col min="11014" max="11014" width="7.453125" style="2" bestFit="1" customWidth="1"/>
    <col min="11015" max="11015" width="10.453125" style="2" bestFit="1" customWidth="1"/>
    <col min="11016" max="11016" width="8.81640625" style="2"/>
    <col min="11017" max="11018" width="12.453125" style="2" bestFit="1" customWidth="1"/>
    <col min="11019" max="11019" width="14" style="2" bestFit="1" customWidth="1"/>
    <col min="11020" max="11252" width="8.81640625" style="2"/>
    <col min="11253" max="11253" width="3.81640625" style="2" customWidth="1"/>
    <col min="11254" max="11254" width="8.81640625" style="2"/>
    <col min="11255" max="11255" width="14.453125" style="2" customWidth="1"/>
    <col min="11256" max="11256" width="38.7265625" style="2" customWidth="1"/>
    <col min="11257" max="11261" width="14" style="2" bestFit="1" customWidth="1"/>
    <col min="11262" max="11262" width="10.453125" style="2" bestFit="1" customWidth="1"/>
    <col min="11263" max="11263" width="8.81640625" style="2"/>
    <col min="11264" max="11264" width="11.26953125" style="2" bestFit="1" customWidth="1"/>
    <col min="11265" max="11265" width="5.453125" style="2" bestFit="1" customWidth="1"/>
    <col min="11266" max="11269" width="5" style="2" bestFit="1" customWidth="1"/>
    <col min="11270" max="11270" width="7.453125" style="2" bestFit="1" customWidth="1"/>
    <col min="11271" max="11271" width="10.453125" style="2" bestFit="1" customWidth="1"/>
    <col min="11272" max="11272" width="8.81640625" style="2"/>
    <col min="11273" max="11274" width="12.453125" style="2" bestFit="1" customWidth="1"/>
    <col min="11275" max="11275" width="14" style="2" bestFit="1" customWidth="1"/>
    <col min="11276" max="11508" width="8.81640625" style="2"/>
    <col min="11509" max="11509" width="3.81640625" style="2" customWidth="1"/>
    <col min="11510" max="11510" width="8.81640625" style="2"/>
    <col min="11511" max="11511" width="14.453125" style="2" customWidth="1"/>
    <col min="11512" max="11512" width="38.7265625" style="2" customWidth="1"/>
    <col min="11513" max="11517" width="14" style="2" bestFit="1" customWidth="1"/>
    <col min="11518" max="11518" width="10.453125" style="2" bestFit="1" customWidth="1"/>
    <col min="11519" max="11519" width="8.81640625" style="2"/>
    <col min="11520" max="11520" width="11.26953125" style="2" bestFit="1" customWidth="1"/>
    <col min="11521" max="11521" width="5.453125" style="2" bestFit="1" customWidth="1"/>
    <col min="11522" max="11525" width="5" style="2" bestFit="1" customWidth="1"/>
    <col min="11526" max="11526" width="7.453125" style="2" bestFit="1" customWidth="1"/>
    <col min="11527" max="11527" width="10.453125" style="2" bestFit="1" customWidth="1"/>
    <col min="11528" max="11528" width="8.81640625" style="2"/>
    <col min="11529" max="11530" width="12.453125" style="2" bestFit="1" customWidth="1"/>
    <col min="11531" max="11531" width="14" style="2" bestFit="1" customWidth="1"/>
    <col min="11532" max="11764" width="8.81640625" style="2"/>
    <col min="11765" max="11765" width="3.81640625" style="2" customWidth="1"/>
    <col min="11766" max="11766" width="8.81640625" style="2"/>
    <col min="11767" max="11767" width="14.453125" style="2" customWidth="1"/>
    <col min="11768" max="11768" width="38.7265625" style="2" customWidth="1"/>
    <col min="11769" max="11773" width="14" style="2" bestFit="1" customWidth="1"/>
    <col min="11774" max="11774" width="10.453125" style="2" bestFit="1" customWidth="1"/>
    <col min="11775" max="11775" width="8.81640625" style="2"/>
    <col min="11776" max="11776" width="11.26953125" style="2" bestFit="1" customWidth="1"/>
    <col min="11777" max="11777" width="5.453125" style="2" bestFit="1" customWidth="1"/>
    <col min="11778" max="11781" width="5" style="2" bestFit="1" customWidth="1"/>
    <col min="11782" max="11782" width="7.453125" style="2" bestFit="1" customWidth="1"/>
    <col min="11783" max="11783" width="10.453125" style="2" bestFit="1" customWidth="1"/>
    <col min="11784" max="11784" width="8.81640625" style="2"/>
    <col min="11785" max="11786" width="12.453125" style="2" bestFit="1" customWidth="1"/>
    <col min="11787" max="11787" width="14" style="2" bestFit="1" customWidth="1"/>
    <col min="11788" max="12020" width="8.81640625" style="2"/>
    <col min="12021" max="12021" width="3.81640625" style="2" customWidth="1"/>
    <col min="12022" max="12022" width="8.81640625" style="2"/>
    <col min="12023" max="12023" width="14.453125" style="2" customWidth="1"/>
    <col min="12024" max="12024" width="38.7265625" style="2" customWidth="1"/>
    <col min="12025" max="12029" width="14" style="2" bestFit="1" customWidth="1"/>
    <col min="12030" max="12030" width="10.453125" style="2" bestFit="1" customWidth="1"/>
    <col min="12031" max="12031" width="8.81640625" style="2"/>
    <col min="12032" max="12032" width="11.26953125" style="2" bestFit="1" customWidth="1"/>
    <col min="12033" max="12033" width="5.453125" style="2" bestFit="1" customWidth="1"/>
    <col min="12034" max="12037" width="5" style="2" bestFit="1" customWidth="1"/>
    <col min="12038" max="12038" width="7.453125" style="2" bestFit="1" customWidth="1"/>
    <col min="12039" max="12039" width="10.453125" style="2" bestFit="1" customWidth="1"/>
    <col min="12040" max="12040" width="8.81640625" style="2"/>
    <col min="12041" max="12042" width="12.453125" style="2" bestFit="1" customWidth="1"/>
    <col min="12043" max="12043" width="14" style="2" bestFit="1" customWidth="1"/>
    <col min="12044" max="12276" width="8.81640625" style="2"/>
    <col min="12277" max="12277" width="3.81640625" style="2" customWidth="1"/>
    <col min="12278" max="12278" width="8.81640625" style="2"/>
    <col min="12279" max="12279" width="14.453125" style="2" customWidth="1"/>
    <col min="12280" max="12280" width="38.7265625" style="2" customWidth="1"/>
    <col min="12281" max="12285" width="14" style="2" bestFit="1" customWidth="1"/>
    <col min="12286" max="12286" width="10.453125" style="2" bestFit="1" customWidth="1"/>
    <col min="12287" max="12287" width="8.81640625" style="2"/>
    <col min="12288" max="12288" width="11.26953125" style="2" bestFit="1" customWidth="1"/>
    <col min="12289" max="12289" width="5.453125" style="2" bestFit="1" customWidth="1"/>
    <col min="12290" max="12293" width="5" style="2" bestFit="1" customWidth="1"/>
    <col min="12294" max="12294" width="7.453125" style="2" bestFit="1" customWidth="1"/>
    <col min="12295" max="12295" width="10.453125" style="2" bestFit="1" customWidth="1"/>
    <col min="12296" max="12296" width="8.81640625" style="2"/>
    <col min="12297" max="12298" width="12.453125" style="2" bestFit="1" customWidth="1"/>
    <col min="12299" max="12299" width="14" style="2" bestFit="1" customWidth="1"/>
    <col min="12300" max="12532" width="8.81640625" style="2"/>
    <col min="12533" max="12533" width="3.81640625" style="2" customWidth="1"/>
    <col min="12534" max="12534" width="8.81640625" style="2"/>
    <col min="12535" max="12535" width="14.453125" style="2" customWidth="1"/>
    <col min="12536" max="12536" width="38.7265625" style="2" customWidth="1"/>
    <col min="12537" max="12541" width="14" style="2" bestFit="1" customWidth="1"/>
    <col min="12542" max="12542" width="10.453125" style="2" bestFit="1" customWidth="1"/>
    <col min="12543" max="12543" width="8.81640625" style="2"/>
    <col min="12544" max="12544" width="11.26953125" style="2" bestFit="1" customWidth="1"/>
    <col min="12545" max="12545" width="5.453125" style="2" bestFit="1" customWidth="1"/>
    <col min="12546" max="12549" width="5" style="2" bestFit="1" customWidth="1"/>
    <col min="12550" max="12550" width="7.453125" style="2" bestFit="1" customWidth="1"/>
    <col min="12551" max="12551" width="10.453125" style="2" bestFit="1" customWidth="1"/>
    <col min="12552" max="12552" width="8.81640625" style="2"/>
    <col min="12553" max="12554" width="12.453125" style="2" bestFit="1" customWidth="1"/>
    <col min="12555" max="12555" width="14" style="2" bestFit="1" customWidth="1"/>
    <col min="12556" max="12788" width="8.81640625" style="2"/>
    <col min="12789" max="12789" width="3.81640625" style="2" customWidth="1"/>
    <col min="12790" max="12790" width="8.81640625" style="2"/>
    <col min="12791" max="12791" width="14.453125" style="2" customWidth="1"/>
    <col min="12792" max="12792" width="38.7265625" style="2" customWidth="1"/>
    <col min="12793" max="12797" width="14" style="2" bestFit="1" customWidth="1"/>
    <col min="12798" max="12798" width="10.453125" style="2" bestFit="1" customWidth="1"/>
    <col min="12799" max="12799" width="8.81640625" style="2"/>
    <col min="12800" max="12800" width="11.26953125" style="2" bestFit="1" customWidth="1"/>
    <col min="12801" max="12801" width="5.453125" style="2" bestFit="1" customWidth="1"/>
    <col min="12802" max="12805" width="5" style="2" bestFit="1" customWidth="1"/>
    <col min="12806" max="12806" width="7.453125" style="2" bestFit="1" customWidth="1"/>
    <col min="12807" max="12807" width="10.453125" style="2" bestFit="1" customWidth="1"/>
    <col min="12808" max="12808" width="8.81640625" style="2"/>
    <col min="12809" max="12810" width="12.453125" style="2" bestFit="1" customWidth="1"/>
    <col min="12811" max="12811" width="14" style="2" bestFit="1" customWidth="1"/>
    <col min="12812" max="13044" width="8.81640625" style="2"/>
    <col min="13045" max="13045" width="3.81640625" style="2" customWidth="1"/>
    <col min="13046" max="13046" width="8.81640625" style="2"/>
    <col min="13047" max="13047" width="14.453125" style="2" customWidth="1"/>
    <col min="13048" max="13048" width="38.7265625" style="2" customWidth="1"/>
    <col min="13049" max="13053" width="14" style="2" bestFit="1" customWidth="1"/>
    <col min="13054" max="13054" width="10.453125" style="2" bestFit="1" customWidth="1"/>
    <col min="13055" max="13055" width="8.81640625" style="2"/>
    <col min="13056" max="13056" width="11.26953125" style="2" bestFit="1" customWidth="1"/>
    <col min="13057" max="13057" width="5.453125" style="2" bestFit="1" customWidth="1"/>
    <col min="13058" max="13061" width="5" style="2" bestFit="1" customWidth="1"/>
    <col min="13062" max="13062" width="7.453125" style="2" bestFit="1" customWidth="1"/>
    <col min="13063" max="13063" width="10.453125" style="2" bestFit="1" customWidth="1"/>
    <col min="13064" max="13064" width="8.81640625" style="2"/>
    <col min="13065" max="13066" width="12.453125" style="2" bestFit="1" customWidth="1"/>
    <col min="13067" max="13067" width="14" style="2" bestFit="1" customWidth="1"/>
    <col min="13068" max="13300" width="8.81640625" style="2"/>
    <col min="13301" max="13301" width="3.81640625" style="2" customWidth="1"/>
    <col min="13302" max="13302" width="8.81640625" style="2"/>
    <col min="13303" max="13303" width="14.453125" style="2" customWidth="1"/>
    <col min="13304" max="13304" width="38.7265625" style="2" customWidth="1"/>
    <col min="13305" max="13309" width="14" style="2" bestFit="1" customWidth="1"/>
    <col min="13310" max="13310" width="10.453125" style="2" bestFit="1" customWidth="1"/>
    <col min="13311" max="13311" width="8.81640625" style="2"/>
    <col min="13312" max="13312" width="11.26953125" style="2" bestFit="1" customWidth="1"/>
    <col min="13313" max="13313" width="5.453125" style="2" bestFit="1" customWidth="1"/>
    <col min="13314" max="13317" width="5" style="2" bestFit="1" customWidth="1"/>
    <col min="13318" max="13318" width="7.453125" style="2" bestFit="1" customWidth="1"/>
    <col min="13319" max="13319" width="10.453125" style="2" bestFit="1" customWidth="1"/>
    <col min="13320" max="13320" width="8.81640625" style="2"/>
    <col min="13321" max="13322" width="12.453125" style="2" bestFit="1" customWidth="1"/>
    <col min="13323" max="13323" width="14" style="2" bestFit="1" customWidth="1"/>
    <col min="13324" max="13556" width="8.81640625" style="2"/>
    <col min="13557" max="13557" width="3.81640625" style="2" customWidth="1"/>
    <col min="13558" max="13558" width="8.81640625" style="2"/>
    <col min="13559" max="13559" width="14.453125" style="2" customWidth="1"/>
    <col min="13560" max="13560" width="38.7265625" style="2" customWidth="1"/>
    <col min="13561" max="13565" width="14" style="2" bestFit="1" customWidth="1"/>
    <col min="13566" max="13566" width="10.453125" style="2" bestFit="1" customWidth="1"/>
    <col min="13567" max="13567" width="8.81640625" style="2"/>
    <col min="13568" max="13568" width="11.26953125" style="2" bestFit="1" customWidth="1"/>
    <col min="13569" max="13569" width="5.453125" style="2" bestFit="1" customWidth="1"/>
    <col min="13570" max="13573" width="5" style="2" bestFit="1" customWidth="1"/>
    <col min="13574" max="13574" width="7.453125" style="2" bestFit="1" customWidth="1"/>
    <col min="13575" max="13575" width="10.453125" style="2" bestFit="1" customWidth="1"/>
    <col min="13576" max="13576" width="8.81640625" style="2"/>
    <col min="13577" max="13578" width="12.453125" style="2" bestFit="1" customWidth="1"/>
    <col min="13579" max="13579" width="14" style="2" bestFit="1" customWidth="1"/>
    <col min="13580" max="13812" width="8.81640625" style="2"/>
    <col min="13813" max="13813" width="3.81640625" style="2" customWidth="1"/>
    <col min="13814" max="13814" width="8.81640625" style="2"/>
    <col min="13815" max="13815" width="14.453125" style="2" customWidth="1"/>
    <col min="13816" max="13816" width="38.7265625" style="2" customWidth="1"/>
    <col min="13817" max="13821" width="14" style="2" bestFit="1" customWidth="1"/>
    <col min="13822" max="13822" width="10.453125" style="2" bestFit="1" customWidth="1"/>
    <col min="13823" max="13823" width="8.81640625" style="2"/>
    <col min="13824" max="13824" width="11.26953125" style="2" bestFit="1" customWidth="1"/>
    <col min="13825" max="13825" width="5.453125" style="2" bestFit="1" customWidth="1"/>
    <col min="13826" max="13829" width="5" style="2" bestFit="1" customWidth="1"/>
    <col min="13830" max="13830" width="7.453125" style="2" bestFit="1" customWidth="1"/>
    <col min="13831" max="13831" width="10.453125" style="2" bestFit="1" customWidth="1"/>
    <col min="13832" max="13832" width="8.81640625" style="2"/>
    <col min="13833" max="13834" width="12.453125" style="2" bestFit="1" customWidth="1"/>
    <col min="13835" max="13835" width="14" style="2" bestFit="1" customWidth="1"/>
    <col min="13836" max="14068" width="8.81640625" style="2"/>
    <col min="14069" max="14069" width="3.81640625" style="2" customWidth="1"/>
    <col min="14070" max="14070" width="8.81640625" style="2"/>
    <col min="14071" max="14071" width="14.453125" style="2" customWidth="1"/>
    <col min="14072" max="14072" width="38.7265625" style="2" customWidth="1"/>
    <col min="14073" max="14077" width="14" style="2" bestFit="1" customWidth="1"/>
    <col min="14078" max="14078" width="10.453125" style="2" bestFit="1" customWidth="1"/>
    <col min="14079" max="14079" width="8.81640625" style="2"/>
    <col min="14080" max="14080" width="11.26953125" style="2" bestFit="1" customWidth="1"/>
    <col min="14081" max="14081" width="5.453125" style="2" bestFit="1" customWidth="1"/>
    <col min="14082" max="14085" width="5" style="2" bestFit="1" customWidth="1"/>
    <col min="14086" max="14086" width="7.453125" style="2" bestFit="1" customWidth="1"/>
    <col min="14087" max="14087" width="10.453125" style="2" bestFit="1" customWidth="1"/>
    <col min="14088" max="14088" width="8.81640625" style="2"/>
    <col min="14089" max="14090" width="12.453125" style="2" bestFit="1" customWidth="1"/>
    <col min="14091" max="14091" width="14" style="2" bestFit="1" customWidth="1"/>
    <col min="14092" max="14324" width="8.81640625" style="2"/>
    <col min="14325" max="14325" width="3.81640625" style="2" customWidth="1"/>
    <col min="14326" max="14326" width="8.81640625" style="2"/>
    <col min="14327" max="14327" width="14.453125" style="2" customWidth="1"/>
    <col min="14328" max="14328" width="38.7265625" style="2" customWidth="1"/>
    <col min="14329" max="14333" width="14" style="2" bestFit="1" customWidth="1"/>
    <col min="14334" max="14334" width="10.453125" style="2" bestFit="1" customWidth="1"/>
    <col min="14335" max="14335" width="8.81640625" style="2"/>
    <col min="14336" max="14336" width="11.26953125" style="2" bestFit="1" customWidth="1"/>
    <col min="14337" max="14337" width="5.453125" style="2" bestFit="1" customWidth="1"/>
    <col min="14338" max="14341" width="5" style="2" bestFit="1" customWidth="1"/>
    <col min="14342" max="14342" width="7.453125" style="2" bestFit="1" customWidth="1"/>
    <col min="14343" max="14343" width="10.453125" style="2" bestFit="1" customWidth="1"/>
    <col min="14344" max="14344" width="8.81640625" style="2"/>
    <col min="14345" max="14346" width="12.453125" style="2" bestFit="1" customWidth="1"/>
    <col min="14347" max="14347" width="14" style="2" bestFit="1" customWidth="1"/>
    <col min="14348" max="14580" width="8.81640625" style="2"/>
    <col min="14581" max="14581" width="3.81640625" style="2" customWidth="1"/>
    <col min="14582" max="14582" width="8.81640625" style="2"/>
    <col min="14583" max="14583" width="14.453125" style="2" customWidth="1"/>
    <col min="14584" max="14584" width="38.7265625" style="2" customWidth="1"/>
    <col min="14585" max="14589" width="14" style="2" bestFit="1" customWidth="1"/>
    <col min="14590" max="14590" width="10.453125" style="2" bestFit="1" customWidth="1"/>
    <col min="14591" max="14591" width="8.81640625" style="2"/>
    <col min="14592" max="14592" width="11.26953125" style="2" bestFit="1" customWidth="1"/>
    <col min="14593" max="14593" width="5.453125" style="2" bestFit="1" customWidth="1"/>
    <col min="14594" max="14597" width="5" style="2" bestFit="1" customWidth="1"/>
    <col min="14598" max="14598" width="7.453125" style="2" bestFit="1" customWidth="1"/>
    <col min="14599" max="14599" width="10.453125" style="2" bestFit="1" customWidth="1"/>
    <col min="14600" max="14600" width="8.81640625" style="2"/>
    <col min="14601" max="14602" width="12.453125" style="2" bestFit="1" customWidth="1"/>
    <col min="14603" max="14603" width="14" style="2" bestFit="1" customWidth="1"/>
    <col min="14604" max="14836" width="8.81640625" style="2"/>
    <col min="14837" max="14837" width="3.81640625" style="2" customWidth="1"/>
    <col min="14838" max="14838" width="8.81640625" style="2"/>
    <col min="14839" max="14839" width="14.453125" style="2" customWidth="1"/>
    <col min="14840" max="14840" width="38.7265625" style="2" customWidth="1"/>
    <col min="14841" max="14845" width="14" style="2" bestFit="1" customWidth="1"/>
    <col min="14846" max="14846" width="10.453125" style="2" bestFit="1" customWidth="1"/>
    <col min="14847" max="14847" width="8.81640625" style="2"/>
    <col min="14848" max="14848" width="11.26953125" style="2" bestFit="1" customWidth="1"/>
    <col min="14849" max="14849" width="5.453125" style="2" bestFit="1" customWidth="1"/>
    <col min="14850" max="14853" width="5" style="2" bestFit="1" customWidth="1"/>
    <col min="14854" max="14854" width="7.453125" style="2" bestFit="1" customWidth="1"/>
    <col min="14855" max="14855" width="10.453125" style="2" bestFit="1" customWidth="1"/>
    <col min="14856" max="14856" width="8.81640625" style="2"/>
    <col min="14857" max="14858" width="12.453125" style="2" bestFit="1" customWidth="1"/>
    <col min="14859" max="14859" width="14" style="2" bestFit="1" customWidth="1"/>
    <col min="14860" max="15092" width="8.81640625" style="2"/>
    <col min="15093" max="15093" width="3.81640625" style="2" customWidth="1"/>
    <col min="15094" max="15094" width="8.81640625" style="2"/>
    <col min="15095" max="15095" width="14.453125" style="2" customWidth="1"/>
    <col min="15096" max="15096" width="38.7265625" style="2" customWidth="1"/>
    <col min="15097" max="15101" width="14" style="2" bestFit="1" customWidth="1"/>
    <col min="15102" max="15102" width="10.453125" style="2" bestFit="1" customWidth="1"/>
    <col min="15103" max="15103" width="8.81640625" style="2"/>
    <col min="15104" max="15104" width="11.26953125" style="2" bestFit="1" customWidth="1"/>
    <col min="15105" max="15105" width="5.453125" style="2" bestFit="1" customWidth="1"/>
    <col min="15106" max="15109" width="5" style="2" bestFit="1" customWidth="1"/>
    <col min="15110" max="15110" width="7.453125" style="2" bestFit="1" customWidth="1"/>
    <col min="15111" max="15111" width="10.453125" style="2" bestFit="1" customWidth="1"/>
    <col min="15112" max="15112" width="8.81640625" style="2"/>
    <col min="15113" max="15114" width="12.453125" style="2" bestFit="1" customWidth="1"/>
    <col min="15115" max="15115" width="14" style="2" bestFit="1" customWidth="1"/>
    <col min="15116" max="15348" width="8.81640625" style="2"/>
    <col min="15349" max="15349" width="3.81640625" style="2" customWidth="1"/>
    <col min="15350" max="15350" width="8.81640625" style="2"/>
    <col min="15351" max="15351" width="14.453125" style="2" customWidth="1"/>
    <col min="15352" max="15352" width="38.7265625" style="2" customWidth="1"/>
    <col min="15353" max="15357" width="14" style="2" bestFit="1" customWidth="1"/>
    <col min="15358" max="15358" width="10.453125" style="2" bestFit="1" customWidth="1"/>
    <col min="15359" max="15359" width="8.81640625" style="2"/>
    <col min="15360" max="15360" width="11.26953125" style="2" bestFit="1" customWidth="1"/>
    <col min="15361" max="15361" width="5.453125" style="2" bestFit="1" customWidth="1"/>
    <col min="15362" max="15365" width="5" style="2" bestFit="1" customWidth="1"/>
    <col min="15366" max="15366" width="7.453125" style="2" bestFit="1" customWidth="1"/>
    <col min="15367" max="15367" width="10.453125" style="2" bestFit="1" customWidth="1"/>
    <col min="15368" max="15368" width="8.81640625" style="2"/>
    <col min="15369" max="15370" width="12.453125" style="2" bestFit="1" customWidth="1"/>
    <col min="15371" max="15371" width="14" style="2" bestFit="1" customWidth="1"/>
    <col min="15372" max="15604" width="8.81640625" style="2"/>
    <col min="15605" max="15605" width="3.81640625" style="2" customWidth="1"/>
    <col min="15606" max="15606" width="8.81640625" style="2"/>
    <col min="15607" max="15607" width="14.453125" style="2" customWidth="1"/>
    <col min="15608" max="15608" width="38.7265625" style="2" customWidth="1"/>
    <col min="15609" max="15613" width="14" style="2" bestFit="1" customWidth="1"/>
    <col min="15614" max="15614" width="10.453125" style="2" bestFit="1" customWidth="1"/>
    <col min="15615" max="15615" width="8.81640625" style="2"/>
    <col min="15616" max="15616" width="11.26953125" style="2" bestFit="1" customWidth="1"/>
    <col min="15617" max="15617" width="5.453125" style="2" bestFit="1" customWidth="1"/>
    <col min="15618" max="15621" width="5" style="2" bestFit="1" customWidth="1"/>
    <col min="15622" max="15622" width="7.453125" style="2" bestFit="1" customWidth="1"/>
    <col min="15623" max="15623" width="10.453125" style="2" bestFit="1" customWidth="1"/>
    <col min="15624" max="15624" width="8.81640625" style="2"/>
    <col min="15625" max="15626" width="12.453125" style="2" bestFit="1" customWidth="1"/>
    <col min="15627" max="15627" width="14" style="2" bestFit="1" customWidth="1"/>
    <col min="15628" max="15860" width="8.81640625" style="2"/>
    <col min="15861" max="15861" width="3.81640625" style="2" customWidth="1"/>
    <col min="15862" max="15862" width="8.81640625" style="2"/>
    <col min="15863" max="15863" width="14.453125" style="2" customWidth="1"/>
    <col min="15864" max="15864" width="38.7265625" style="2" customWidth="1"/>
    <col min="15865" max="15869" width="14" style="2" bestFit="1" customWidth="1"/>
    <col min="15870" max="15870" width="10.453125" style="2" bestFit="1" customWidth="1"/>
    <col min="15871" max="15871" width="8.81640625" style="2"/>
    <col min="15872" max="15872" width="11.26953125" style="2" bestFit="1" customWidth="1"/>
    <col min="15873" max="15873" width="5.453125" style="2" bestFit="1" customWidth="1"/>
    <col min="15874" max="15877" width="5" style="2" bestFit="1" customWidth="1"/>
    <col min="15878" max="15878" width="7.453125" style="2" bestFit="1" customWidth="1"/>
    <col min="15879" max="15879" width="10.453125" style="2" bestFit="1" customWidth="1"/>
    <col min="15880" max="15880" width="8.81640625" style="2"/>
    <col min="15881" max="15882" width="12.453125" style="2" bestFit="1" customWidth="1"/>
    <col min="15883" max="15883" width="14" style="2" bestFit="1" customWidth="1"/>
    <col min="15884" max="16116" width="8.81640625" style="2"/>
    <col min="16117" max="16117" width="3.81640625" style="2" customWidth="1"/>
    <col min="16118" max="16118" width="8.81640625" style="2"/>
    <col min="16119" max="16119" width="14.453125" style="2" customWidth="1"/>
    <col min="16120" max="16120" width="38.7265625" style="2" customWidth="1"/>
    <col min="16121" max="16125" width="14" style="2" bestFit="1" customWidth="1"/>
    <col min="16126" max="16126" width="10.453125" style="2" bestFit="1" customWidth="1"/>
    <col min="16127" max="16127" width="8.81640625" style="2"/>
    <col min="16128" max="16128" width="11.26953125" style="2" bestFit="1" customWidth="1"/>
    <col min="16129" max="16129" width="5.453125" style="2" bestFit="1" customWidth="1"/>
    <col min="16130" max="16133" width="5" style="2" bestFit="1" customWidth="1"/>
    <col min="16134" max="16134" width="7.453125" style="2" bestFit="1" customWidth="1"/>
    <col min="16135" max="16135" width="10.453125" style="2" bestFit="1" customWidth="1"/>
    <col min="16136" max="16136" width="8.81640625" style="2"/>
    <col min="16137" max="16138" width="12.453125" style="2" bestFit="1" customWidth="1"/>
    <col min="16139" max="16139" width="14" style="2" bestFit="1" customWidth="1"/>
    <col min="16140" max="16384" width="8.81640625" style="2"/>
  </cols>
  <sheetData>
    <row r="1" spans="1:21">
      <c r="A1" s="1"/>
      <c r="E1" s="34" t="s">
        <v>272</v>
      </c>
      <c r="F1" s="20"/>
      <c r="G1" s="20"/>
      <c r="H1" s="20"/>
      <c r="J1" s="438" t="s">
        <v>327</v>
      </c>
    </row>
    <row r="2" spans="1:21">
      <c r="A2" s="1"/>
      <c r="E2" s="34" t="s">
        <v>273</v>
      </c>
      <c r="G2" s="18"/>
      <c r="H2" s="18"/>
      <c r="J2" s="439">
        <v>203700</v>
      </c>
      <c r="K2" s="2" t="s">
        <v>328</v>
      </c>
    </row>
    <row r="3" spans="1:21" ht="7" customHeight="1" thickBot="1">
      <c r="A3" s="1"/>
    </row>
    <row r="4" spans="1:21" ht="22" customHeight="1" thickBot="1">
      <c r="E4" s="402" t="s">
        <v>204</v>
      </c>
      <c r="F4" s="403"/>
      <c r="G4" s="403"/>
      <c r="H4" s="404"/>
      <c r="Q4" s="81"/>
      <c r="R4" s="81"/>
    </row>
    <row r="5" spans="1:21" ht="15" thickBot="1">
      <c r="E5" s="4" t="s">
        <v>41</v>
      </c>
      <c r="F5" s="5" t="s">
        <v>40</v>
      </c>
      <c r="G5" s="5" t="s">
        <v>39</v>
      </c>
      <c r="H5" s="6" t="s">
        <v>49</v>
      </c>
      <c r="J5" s="302" t="s">
        <v>163</v>
      </c>
      <c r="K5" s="92" t="s">
        <v>118</v>
      </c>
      <c r="L5" s="7" t="s">
        <v>36</v>
      </c>
      <c r="M5" s="7" t="s">
        <v>35</v>
      </c>
      <c r="N5" s="7" t="s">
        <v>34</v>
      </c>
      <c r="O5" s="8" t="s">
        <v>31</v>
      </c>
      <c r="Q5" s="81" t="s">
        <v>75</v>
      </c>
      <c r="R5" s="81"/>
    </row>
    <row r="6" spans="1:21">
      <c r="A6" s="9" t="s">
        <v>30</v>
      </c>
      <c r="B6" s="10" t="s">
        <v>42</v>
      </c>
      <c r="C6" s="10"/>
      <c r="D6" s="10"/>
      <c r="E6" s="11"/>
      <c r="F6" s="11"/>
      <c r="G6" s="12"/>
      <c r="H6" s="13"/>
      <c r="J6" s="87" t="s">
        <v>275</v>
      </c>
      <c r="K6" s="299" t="s">
        <v>276</v>
      </c>
      <c r="L6" s="15"/>
      <c r="M6" s="15"/>
      <c r="N6" s="15"/>
      <c r="O6" s="16"/>
    </row>
    <row r="7" spans="1:21">
      <c r="A7" s="17"/>
      <c r="B7" s="298" t="s">
        <v>326</v>
      </c>
      <c r="C7" s="184" t="s">
        <v>190</v>
      </c>
      <c r="D7" s="26" t="s">
        <v>165</v>
      </c>
      <c r="E7" s="38">
        <f>$K7*L7</f>
        <v>13330</v>
      </c>
      <c r="F7" s="38">
        <f>$K7*M7*$O$7</f>
        <v>13996.5</v>
      </c>
      <c r="G7" s="38">
        <f>$K7*N7*$O$7^2</f>
        <v>14696.325000000001</v>
      </c>
      <c r="H7" s="19">
        <f t="shared" ref="H7:H36" si="0">SUM(E7:G7)</f>
        <v>42022.824999999997</v>
      </c>
      <c r="J7" s="90">
        <v>159960</v>
      </c>
      <c r="K7" s="94">
        <f>+J7/12</f>
        <v>13330</v>
      </c>
      <c r="L7" s="75">
        <v>1</v>
      </c>
      <c r="M7" s="75">
        <v>1</v>
      </c>
      <c r="N7" s="75">
        <v>1</v>
      </c>
      <c r="O7" s="325">
        <v>1.05</v>
      </c>
      <c r="Q7" s="153">
        <f>+E7/$J$7</f>
        <v>8.3333333333333329E-2</v>
      </c>
      <c r="R7" s="153">
        <f t="shared" ref="R7:U7" si="1">+F7/$J$7</f>
        <v>8.7499999999999994E-2</v>
      </c>
      <c r="S7" s="153">
        <f t="shared" si="1"/>
        <v>9.1874999999999998E-2</v>
      </c>
      <c r="T7" s="153">
        <f t="shared" si="1"/>
        <v>0.26270833333333332</v>
      </c>
      <c r="U7" s="153">
        <f t="shared" si="1"/>
        <v>0</v>
      </c>
    </row>
    <row r="8" spans="1:21">
      <c r="A8" s="17"/>
      <c r="B8" s="297" t="s">
        <v>192</v>
      </c>
      <c r="C8" s="291" t="s">
        <v>191</v>
      </c>
      <c r="D8" s="20" t="s">
        <v>79</v>
      </c>
      <c r="E8" s="38">
        <f t="shared" ref="E8:E11" si="2">$K8*L8</f>
        <v>0</v>
      </c>
      <c r="F8" s="38">
        <f t="shared" ref="F8:F11" si="3">$K8*M8*$O$7</f>
        <v>0</v>
      </c>
      <c r="G8" s="38">
        <f t="shared" ref="G8:G11" si="4">$K8*N8*$O$7^2</f>
        <v>0</v>
      </c>
      <c r="H8" s="19">
        <f t="shared" si="0"/>
        <v>0</v>
      </c>
      <c r="J8" s="90"/>
      <c r="K8" s="94">
        <v>0</v>
      </c>
      <c r="L8" s="75">
        <v>0</v>
      </c>
      <c r="M8" s="75">
        <v>0</v>
      </c>
      <c r="N8" s="75">
        <v>1</v>
      </c>
      <c r="O8" s="16"/>
    </row>
    <row r="9" spans="1:21" hidden="1">
      <c r="A9" s="17"/>
      <c r="B9" s="297" t="s">
        <v>192</v>
      </c>
      <c r="C9" s="291" t="s">
        <v>191</v>
      </c>
      <c r="D9" s="20" t="s">
        <v>79</v>
      </c>
      <c r="E9" s="38">
        <f t="shared" si="2"/>
        <v>0</v>
      </c>
      <c r="F9" s="38">
        <f t="shared" si="3"/>
        <v>0</v>
      </c>
      <c r="G9" s="38">
        <f t="shared" si="4"/>
        <v>0</v>
      </c>
      <c r="H9" s="19">
        <f t="shared" si="0"/>
        <v>0</v>
      </c>
      <c r="J9" s="90"/>
      <c r="K9" s="94">
        <v>0</v>
      </c>
      <c r="L9" s="75">
        <v>0</v>
      </c>
      <c r="M9" s="75">
        <v>0</v>
      </c>
      <c r="N9" s="75">
        <v>0</v>
      </c>
      <c r="O9" s="16"/>
    </row>
    <row r="10" spans="1:21" hidden="1">
      <c r="A10" s="17"/>
      <c r="B10" s="297" t="s">
        <v>192</v>
      </c>
      <c r="C10" s="291" t="s">
        <v>191</v>
      </c>
      <c r="D10" s="20" t="s">
        <v>79</v>
      </c>
      <c r="E10" s="38">
        <f t="shared" si="2"/>
        <v>0</v>
      </c>
      <c r="F10" s="38">
        <f t="shared" si="3"/>
        <v>0</v>
      </c>
      <c r="G10" s="38">
        <f t="shared" si="4"/>
        <v>0</v>
      </c>
      <c r="H10" s="19">
        <f t="shared" si="0"/>
        <v>0</v>
      </c>
      <c r="J10" s="90"/>
      <c r="K10" s="99">
        <v>0</v>
      </c>
      <c r="L10" s="75">
        <v>0</v>
      </c>
      <c r="M10" s="75">
        <v>0</v>
      </c>
      <c r="N10" s="75">
        <v>0</v>
      </c>
      <c r="O10" s="16"/>
    </row>
    <row r="11" spans="1:21">
      <c r="A11" s="17"/>
      <c r="B11" s="297" t="s">
        <v>192</v>
      </c>
      <c r="C11" s="291" t="s">
        <v>281</v>
      </c>
      <c r="D11" s="20" t="s">
        <v>79</v>
      </c>
      <c r="E11" s="38">
        <f t="shared" si="2"/>
        <v>0</v>
      </c>
      <c r="F11" s="38">
        <f t="shared" si="3"/>
        <v>0</v>
      </c>
      <c r="G11" s="38">
        <f t="shared" si="4"/>
        <v>0</v>
      </c>
      <c r="H11" s="19">
        <f t="shared" si="0"/>
        <v>0</v>
      </c>
      <c r="J11" s="90"/>
      <c r="K11" s="94">
        <v>0</v>
      </c>
      <c r="L11" s="75">
        <v>0</v>
      </c>
      <c r="M11" s="75">
        <v>0</v>
      </c>
      <c r="N11" s="75">
        <v>0</v>
      </c>
      <c r="O11" s="16"/>
    </row>
    <row r="12" spans="1:21">
      <c r="A12" s="17"/>
      <c r="B12" s="21" t="s">
        <v>164</v>
      </c>
      <c r="C12" s="18"/>
      <c r="D12" s="18"/>
      <c r="E12" s="22">
        <f>SUM(E7:E11)</f>
        <v>13330</v>
      </c>
      <c r="F12" s="22">
        <f t="shared" ref="F12:G12" si="5">SUM(F7:F11)</f>
        <v>13996.5</v>
      </c>
      <c r="G12" s="22">
        <f t="shared" si="5"/>
        <v>14696.325000000001</v>
      </c>
      <c r="H12" s="19">
        <f t="shared" si="0"/>
        <v>42022.824999999997</v>
      </c>
      <c r="J12" s="14"/>
      <c r="K12" s="88"/>
      <c r="L12" s="187"/>
      <c r="M12" s="187"/>
      <c r="N12" s="187"/>
      <c r="O12" s="16"/>
    </row>
    <row r="13" spans="1:21">
      <c r="A13" s="23" t="s">
        <v>29</v>
      </c>
      <c r="B13" s="24" t="s">
        <v>83</v>
      </c>
      <c r="C13" s="24"/>
      <c r="D13" s="24"/>
      <c r="E13" s="25"/>
      <c r="F13" s="25"/>
      <c r="G13" s="25"/>
      <c r="H13" s="19"/>
      <c r="J13" s="14"/>
      <c r="K13" s="101"/>
      <c r="L13" s="187"/>
      <c r="M13" s="187"/>
      <c r="N13" s="187"/>
      <c r="O13" s="16"/>
    </row>
    <row r="14" spans="1:21">
      <c r="A14" s="17"/>
      <c r="B14" s="21" t="s">
        <v>51</v>
      </c>
      <c r="C14" s="26"/>
      <c r="D14" s="26"/>
      <c r="E14" s="38">
        <f t="shared" ref="E14:E21" si="6">$K14*L14</f>
        <v>0</v>
      </c>
      <c r="F14" s="38">
        <f t="shared" ref="F14:F21" si="7">$K14*M14*$O$7</f>
        <v>0</v>
      </c>
      <c r="G14" s="38">
        <f t="shared" ref="G14:G21" si="8">$K14*N14*$O$7^2</f>
        <v>0</v>
      </c>
      <c r="H14" s="19">
        <f t="shared" si="0"/>
        <v>0</v>
      </c>
      <c r="J14" s="91"/>
      <c r="K14" s="100">
        <v>5100</v>
      </c>
      <c r="L14" s="75">
        <v>0</v>
      </c>
      <c r="M14" s="75">
        <v>0</v>
      </c>
      <c r="N14" s="75">
        <v>0</v>
      </c>
      <c r="O14" s="16"/>
    </row>
    <row r="15" spans="1:21" ht="15.75" customHeight="1">
      <c r="A15" s="17"/>
      <c r="B15" s="21" t="s">
        <v>50</v>
      </c>
      <c r="C15" s="18"/>
      <c r="D15" s="18"/>
      <c r="E15" s="38">
        <f t="shared" si="6"/>
        <v>0</v>
      </c>
      <c r="F15" s="38">
        <f t="shared" si="7"/>
        <v>0</v>
      </c>
      <c r="G15" s="38">
        <f t="shared" si="8"/>
        <v>0</v>
      </c>
      <c r="H15" s="19">
        <f t="shared" si="0"/>
        <v>0</v>
      </c>
      <c r="J15" s="91"/>
      <c r="K15" s="95">
        <v>5000</v>
      </c>
      <c r="L15" s="75">
        <v>0</v>
      </c>
      <c r="M15" s="75">
        <v>0</v>
      </c>
      <c r="N15" s="75">
        <v>0</v>
      </c>
      <c r="O15" s="16"/>
    </row>
    <row r="16" spans="1:21">
      <c r="A16" s="17"/>
      <c r="B16" s="21" t="s">
        <v>277</v>
      </c>
      <c r="C16" s="18"/>
      <c r="D16" s="18"/>
      <c r="E16" s="38">
        <f t="shared" si="6"/>
        <v>0</v>
      </c>
      <c r="F16" s="38">
        <f t="shared" si="7"/>
        <v>0</v>
      </c>
      <c r="G16" s="38">
        <f t="shared" si="8"/>
        <v>0</v>
      </c>
      <c r="H16" s="19">
        <f t="shared" si="0"/>
        <v>0</v>
      </c>
      <c r="J16" s="91">
        <v>40382</v>
      </c>
      <c r="K16" s="95">
        <f>+J16/12</f>
        <v>3365.1666666666665</v>
      </c>
      <c r="L16" s="75">
        <v>0</v>
      </c>
      <c r="M16" s="75">
        <v>0</v>
      </c>
      <c r="N16" s="75">
        <v>0</v>
      </c>
      <c r="O16" s="16"/>
      <c r="Q16" s="28" t="s">
        <v>178</v>
      </c>
    </row>
    <row r="17" spans="1:17">
      <c r="A17" s="17"/>
      <c r="B17" s="21" t="s">
        <v>278</v>
      </c>
      <c r="C17" s="18"/>
      <c r="D17" s="18"/>
      <c r="E17" s="38">
        <f t="shared" si="6"/>
        <v>41253</v>
      </c>
      <c r="F17" s="38">
        <f t="shared" si="7"/>
        <v>43315.65</v>
      </c>
      <c r="G17" s="38">
        <f t="shared" si="8"/>
        <v>45481.432500000003</v>
      </c>
      <c r="H17" s="19">
        <f t="shared" si="0"/>
        <v>130050.08249999999</v>
      </c>
      <c r="J17" s="91">
        <v>41253</v>
      </c>
      <c r="K17" s="95">
        <f t="shared" ref="K17:K18" si="9">+J17/12</f>
        <v>3437.75</v>
      </c>
      <c r="L17" s="75">
        <v>12</v>
      </c>
      <c r="M17" s="75">
        <v>12</v>
      </c>
      <c r="N17" s="75">
        <v>12</v>
      </c>
      <c r="O17" s="16"/>
      <c r="Q17" s="28" t="s">
        <v>96</v>
      </c>
    </row>
    <row r="18" spans="1:17">
      <c r="A18" s="17"/>
      <c r="B18" s="21" t="s">
        <v>279</v>
      </c>
      <c r="C18" s="18"/>
      <c r="D18" s="18"/>
      <c r="E18" s="38">
        <f t="shared" si="6"/>
        <v>0</v>
      </c>
      <c r="F18" s="38">
        <f t="shared" si="7"/>
        <v>0</v>
      </c>
      <c r="G18" s="38">
        <f t="shared" si="8"/>
        <v>0</v>
      </c>
      <c r="H18" s="19">
        <f t="shared" si="0"/>
        <v>0</v>
      </c>
      <c r="J18" s="91">
        <v>42124</v>
      </c>
      <c r="K18" s="95">
        <f t="shared" si="9"/>
        <v>3510.3333333333335</v>
      </c>
      <c r="L18" s="75">
        <v>0</v>
      </c>
      <c r="M18" s="75">
        <v>0</v>
      </c>
      <c r="N18" s="75">
        <v>0</v>
      </c>
      <c r="O18" s="16"/>
      <c r="Q18" s="28" t="s">
        <v>179</v>
      </c>
    </row>
    <row r="19" spans="1:17">
      <c r="A19" s="17"/>
      <c r="B19" s="21" t="s">
        <v>28</v>
      </c>
      <c r="C19" s="18"/>
      <c r="D19" s="18"/>
      <c r="E19" s="38">
        <f t="shared" si="6"/>
        <v>0</v>
      </c>
      <c r="F19" s="38">
        <f t="shared" si="7"/>
        <v>0</v>
      </c>
      <c r="G19" s="38">
        <f t="shared" si="8"/>
        <v>0</v>
      </c>
      <c r="H19" s="19">
        <f t="shared" si="0"/>
        <v>0</v>
      </c>
      <c r="J19" s="91"/>
      <c r="K19" s="98">
        <v>15.45</v>
      </c>
      <c r="L19" s="75">
        <v>0</v>
      </c>
      <c r="M19" s="75">
        <v>0</v>
      </c>
      <c r="N19" s="75">
        <v>0</v>
      </c>
      <c r="O19" s="16"/>
      <c r="Q19" s="97" t="s">
        <v>78</v>
      </c>
    </row>
    <row r="20" spans="1:17">
      <c r="A20" s="17"/>
      <c r="B20" s="21" t="s">
        <v>27</v>
      </c>
      <c r="C20" s="18"/>
      <c r="D20" s="18"/>
      <c r="E20" s="38">
        <f t="shared" si="6"/>
        <v>0</v>
      </c>
      <c r="F20" s="38">
        <f t="shared" si="7"/>
        <v>0</v>
      </c>
      <c r="G20" s="38">
        <f t="shared" si="8"/>
        <v>0</v>
      </c>
      <c r="H20" s="19">
        <f t="shared" si="0"/>
        <v>0</v>
      </c>
      <c r="J20" s="91"/>
      <c r="K20" s="95">
        <v>3000</v>
      </c>
      <c r="L20" s="75">
        <v>0</v>
      </c>
      <c r="M20" s="75">
        <v>0</v>
      </c>
      <c r="N20" s="75">
        <v>0</v>
      </c>
      <c r="O20" s="16"/>
    </row>
    <row r="21" spans="1:17">
      <c r="A21" s="17"/>
      <c r="B21" s="21" t="s">
        <v>26</v>
      </c>
      <c r="C21" s="18"/>
      <c r="D21" s="18"/>
      <c r="E21" s="38">
        <f t="shared" si="6"/>
        <v>0</v>
      </c>
      <c r="F21" s="38">
        <f t="shared" si="7"/>
        <v>0</v>
      </c>
      <c r="G21" s="38">
        <f t="shared" si="8"/>
        <v>0</v>
      </c>
      <c r="H21" s="19">
        <f t="shared" si="0"/>
        <v>0</v>
      </c>
      <c r="J21" s="27"/>
      <c r="K21" s="98">
        <v>10</v>
      </c>
      <c r="L21" s="75"/>
      <c r="M21" s="75"/>
      <c r="N21" s="75"/>
      <c r="O21" s="16"/>
    </row>
    <row r="22" spans="1:17" s="34" customFormat="1">
      <c r="A22" s="30"/>
      <c r="B22" s="31" t="s">
        <v>25</v>
      </c>
      <c r="C22" s="31"/>
      <c r="D22" s="31"/>
      <c r="E22" s="32">
        <f>E12+SUM(E14:E21)</f>
        <v>54583</v>
      </c>
      <c r="F22" s="32">
        <f>F12+SUM(F14:F21)</f>
        <v>57312.15</v>
      </c>
      <c r="G22" s="32">
        <f>G12+SUM(G14:G21)</f>
        <v>60177.757500000007</v>
      </c>
      <c r="H22" s="33">
        <f t="shared" si="0"/>
        <v>172072.9075</v>
      </c>
      <c r="J22" s="35"/>
      <c r="K22" s="89"/>
      <c r="L22" s="52"/>
      <c r="M22" s="52"/>
      <c r="N22" s="52"/>
      <c r="O22" s="53"/>
    </row>
    <row r="23" spans="1:17">
      <c r="A23" s="17" t="s">
        <v>24</v>
      </c>
      <c r="B23" s="18" t="s">
        <v>44</v>
      </c>
      <c r="C23" s="18"/>
      <c r="D23" s="18"/>
      <c r="E23" s="29"/>
      <c r="F23" s="29"/>
      <c r="G23" s="29"/>
      <c r="H23" s="19"/>
      <c r="J23" s="14"/>
      <c r="K23" s="88"/>
      <c r="L23" s="15"/>
      <c r="M23" s="15"/>
      <c r="N23" s="15"/>
      <c r="O23" s="16"/>
    </row>
    <row r="24" spans="1:17">
      <c r="A24" s="17"/>
      <c r="B24" s="21" t="s">
        <v>302</v>
      </c>
      <c r="C24" s="18"/>
      <c r="D24" s="18"/>
      <c r="E24" s="22">
        <f>ROUND(($O26*(E12)),0)</f>
        <v>1013</v>
      </c>
      <c r="F24" s="22">
        <f>ROUND(($O26*(F12)),0)</f>
        <v>1064</v>
      </c>
      <c r="G24" s="22">
        <f>ROUND(($O26*(G12)),0)</f>
        <v>1117</v>
      </c>
      <c r="H24" s="19">
        <f t="shared" si="0"/>
        <v>3194</v>
      </c>
      <c r="J24" s="14"/>
      <c r="K24" s="88"/>
      <c r="L24" s="15"/>
      <c r="M24" s="15"/>
      <c r="N24" s="15"/>
      <c r="O24" s="16"/>
    </row>
    <row r="25" spans="1:17">
      <c r="A25" s="17"/>
      <c r="B25" s="21" t="s">
        <v>166</v>
      </c>
      <c r="C25" s="18"/>
      <c r="D25" s="18"/>
      <c r="E25" s="22">
        <f>+(E14+E15)*$O$25</f>
        <v>0</v>
      </c>
      <c r="F25" s="22">
        <f>+(F14+F15)*$O$25</f>
        <v>0</v>
      </c>
      <c r="G25" s="22">
        <f>+(G14+G15)*$O$25</f>
        <v>0</v>
      </c>
      <c r="H25" s="19">
        <f t="shared" si="0"/>
        <v>0</v>
      </c>
      <c r="J25" s="14"/>
      <c r="K25" s="88"/>
      <c r="L25" s="15"/>
      <c r="M25" s="15"/>
      <c r="N25" s="15"/>
      <c r="O25" s="326">
        <v>0.29899999999999999</v>
      </c>
      <c r="Q25" s="2" t="s">
        <v>111</v>
      </c>
    </row>
    <row r="26" spans="1:17">
      <c r="A26" s="17"/>
      <c r="B26" s="21" t="s">
        <v>52</v>
      </c>
      <c r="C26" s="18"/>
      <c r="D26" s="18"/>
      <c r="E26" s="22">
        <f>ROUND((E16+E17+E18)*$O27,0)</f>
        <v>11138</v>
      </c>
      <c r="F26" s="22">
        <f>ROUND((F16+F17+F18)*$O27,0)</f>
        <v>11695</v>
      </c>
      <c r="G26" s="22">
        <f>ROUND((G16+G17+G18)*$O27,0)</f>
        <v>12280</v>
      </c>
      <c r="H26" s="19">
        <f t="shared" si="0"/>
        <v>35113</v>
      </c>
      <c r="J26" s="14"/>
      <c r="K26" s="88"/>
      <c r="L26" s="15"/>
      <c r="M26" s="15"/>
      <c r="N26" s="15"/>
      <c r="O26" s="326">
        <v>7.5999999999999998E-2</v>
      </c>
      <c r="Q26" s="2" t="s">
        <v>80</v>
      </c>
    </row>
    <row r="27" spans="1:17">
      <c r="A27" s="17"/>
      <c r="B27" s="21" t="s">
        <v>82</v>
      </c>
      <c r="C27" s="18"/>
      <c r="D27" s="18"/>
      <c r="E27" s="22">
        <f>ROUND(E19*$O26,0)</f>
        <v>0</v>
      </c>
      <c r="F27" s="22">
        <f>ROUND(F19*$O26,0)</f>
        <v>0</v>
      </c>
      <c r="G27" s="22">
        <f>ROUND(G19*$O26,0)</f>
        <v>0</v>
      </c>
      <c r="H27" s="19">
        <f t="shared" si="0"/>
        <v>0</v>
      </c>
      <c r="J27" s="14"/>
      <c r="K27" s="88"/>
      <c r="L27" s="15"/>
      <c r="M27" s="15"/>
      <c r="N27" s="15"/>
      <c r="O27" s="326">
        <v>0.27</v>
      </c>
      <c r="Q27" s="2" t="s">
        <v>81</v>
      </c>
    </row>
    <row r="28" spans="1:17">
      <c r="A28" s="17"/>
      <c r="B28" s="21" t="s">
        <v>109</v>
      </c>
      <c r="C28" s="18"/>
      <c r="D28" s="18"/>
      <c r="E28" s="22">
        <f>+E20*$O$28</f>
        <v>0</v>
      </c>
      <c r="F28" s="22">
        <f>+F20*$O$28</f>
        <v>0</v>
      </c>
      <c r="G28" s="22">
        <f>+G20*$O$28</f>
        <v>0</v>
      </c>
      <c r="H28" s="19">
        <f t="shared" si="0"/>
        <v>0</v>
      </c>
      <c r="J28" s="14"/>
      <c r="K28" s="88"/>
      <c r="L28" s="15"/>
      <c r="M28" s="15"/>
      <c r="N28" s="15"/>
      <c r="O28" s="326">
        <v>0.35599999999999998</v>
      </c>
      <c r="Q28" s="2" t="s">
        <v>110</v>
      </c>
    </row>
    <row r="29" spans="1:17">
      <c r="A29" s="17"/>
      <c r="B29" s="18" t="s">
        <v>46</v>
      </c>
      <c r="C29" s="18"/>
      <c r="D29" s="18"/>
      <c r="E29" s="22">
        <f>SUM(E24:E28)</f>
        <v>12151</v>
      </c>
      <c r="F29" s="22">
        <f t="shared" ref="F29:G29" si="10">SUM(F24:F28)</f>
        <v>12759</v>
      </c>
      <c r="G29" s="22">
        <f t="shared" si="10"/>
        <v>13397</v>
      </c>
      <c r="H29" s="19">
        <f t="shared" si="0"/>
        <v>38307</v>
      </c>
      <c r="J29" s="14"/>
      <c r="K29" s="88"/>
      <c r="L29" s="15"/>
      <c r="M29" s="15"/>
      <c r="N29" s="15"/>
      <c r="O29" s="16"/>
    </row>
    <row r="30" spans="1:17" s="34" customFormat="1">
      <c r="A30" s="30"/>
      <c r="B30" s="31" t="s">
        <v>23</v>
      </c>
      <c r="C30" s="31"/>
      <c r="D30" s="31"/>
      <c r="E30" s="32">
        <f>E29+E22</f>
        <v>66734</v>
      </c>
      <c r="F30" s="32">
        <f>F29+F22</f>
        <v>70071.149999999994</v>
      </c>
      <c r="G30" s="32">
        <f>G29+G22</f>
        <v>73574.757500000007</v>
      </c>
      <c r="H30" s="33">
        <f t="shared" si="0"/>
        <v>210379.9075</v>
      </c>
      <c r="J30" s="35"/>
      <c r="K30" s="89"/>
      <c r="L30" s="52"/>
      <c r="M30" s="52"/>
      <c r="N30" s="52"/>
      <c r="O30" s="16"/>
    </row>
    <row r="31" spans="1:17">
      <c r="A31" s="23" t="s">
        <v>22</v>
      </c>
      <c r="B31" s="18" t="s">
        <v>45</v>
      </c>
      <c r="C31" s="18"/>
      <c r="D31" s="18"/>
      <c r="E31" s="29"/>
      <c r="F31" s="29"/>
      <c r="G31" s="29"/>
      <c r="H31" s="19"/>
      <c r="J31" s="14"/>
      <c r="K31" s="88"/>
      <c r="L31" s="15"/>
      <c r="M31" s="15"/>
      <c r="N31" s="15"/>
      <c r="O31" s="16"/>
    </row>
    <row r="32" spans="1:17" hidden="1">
      <c r="A32" s="17"/>
      <c r="B32" s="21"/>
      <c r="C32" s="18"/>
      <c r="D32" s="36"/>
      <c r="E32" s="38">
        <v>0</v>
      </c>
      <c r="F32" s="38">
        <v>0</v>
      </c>
      <c r="G32" s="38">
        <v>0</v>
      </c>
      <c r="H32" s="19">
        <f t="shared" si="0"/>
        <v>0</v>
      </c>
      <c r="J32" s="14"/>
      <c r="K32" s="88"/>
      <c r="L32" s="15"/>
      <c r="M32" s="15"/>
      <c r="N32" s="15"/>
      <c r="O32" s="16"/>
    </row>
    <row r="33" spans="1:17" hidden="1">
      <c r="A33" s="17"/>
      <c r="B33" s="37"/>
      <c r="C33" s="24"/>
      <c r="D33" s="24"/>
      <c r="E33" s="38">
        <v>0</v>
      </c>
      <c r="F33" s="38">
        <v>0</v>
      </c>
      <c r="G33" s="38">
        <v>0</v>
      </c>
      <c r="H33" s="19">
        <f t="shared" si="0"/>
        <v>0</v>
      </c>
      <c r="J33" s="14"/>
      <c r="K33" s="88"/>
      <c r="L33" s="15"/>
      <c r="M33" s="15"/>
      <c r="N33" s="15"/>
      <c r="O33" s="16"/>
    </row>
    <row r="34" spans="1:17">
      <c r="A34" s="17"/>
      <c r="B34" s="18" t="s">
        <v>21</v>
      </c>
      <c r="C34" s="18"/>
      <c r="D34" s="18"/>
      <c r="E34" s="38">
        <f>+E32+E33</f>
        <v>0</v>
      </c>
      <c r="F34" s="38">
        <f t="shared" ref="F34:G34" si="11">+F32+F33</f>
        <v>0</v>
      </c>
      <c r="G34" s="38">
        <f t="shared" si="11"/>
        <v>0</v>
      </c>
      <c r="H34" s="19">
        <f t="shared" si="0"/>
        <v>0</v>
      </c>
      <c r="J34" s="14"/>
      <c r="K34" s="88"/>
      <c r="L34" s="15"/>
      <c r="M34" s="15"/>
      <c r="N34" s="15"/>
      <c r="O34" s="16"/>
    </row>
    <row r="35" spans="1:17">
      <c r="A35" s="23" t="s">
        <v>20</v>
      </c>
      <c r="B35" s="18" t="s">
        <v>19</v>
      </c>
      <c r="C35" s="18" t="s">
        <v>43</v>
      </c>
      <c r="D35" s="18"/>
      <c r="E35" s="38">
        <v>2000</v>
      </c>
      <c r="F35" s="38"/>
      <c r="G35" s="38">
        <v>4000</v>
      </c>
      <c r="H35" s="19">
        <f t="shared" si="0"/>
        <v>6000</v>
      </c>
      <c r="J35" s="14"/>
      <c r="K35" s="88"/>
      <c r="L35" s="15"/>
      <c r="M35" s="15"/>
      <c r="N35" s="15"/>
      <c r="O35" s="16"/>
    </row>
    <row r="36" spans="1:17">
      <c r="A36" s="17"/>
      <c r="B36" s="39"/>
      <c r="C36" s="18" t="s">
        <v>18</v>
      </c>
      <c r="D36" s="18"/>
      <c r="E36" s="38">
        <v>0</v>
      </c>
      <c r="F36" s="38">
        <v>0</v>
      </c>
      <c r="G36" s="38">
        <v>0</v>
      </c>
      <c r="H36" s="19">
        <f t="shared" si="0"/>
        <v>0</v>
      </c>
      <c r="J36" s="14"/>
      <c r="K36" s="88"/>
      <c r="L36" s="15"/>
      <c r="M36" s="15"/>
      <c r="N36" s="15"/>
      <c r="O36" s="16"/>
      <c r="Q36" s="127"/>
    </row>
    <row r="37" spans="1:17">
      <c r="A37" s="17"/>
      <c r="B37" s="24" t="s">
        <v>47</v>
      </c>
      <c r="C37" s="24"/>
      <c r="D37" s="24"/>
      <c r="E37" s="22">
        <f>SUM(E35:E36)</f>
        <v>2000</v>
      </c>
      <c r="F37" s="22">
        <f>SUM(F35:F36)</f>
        <v>0</v>
      </c>
      <c r="G37" s="22">
        <f>SUM(G35:G36)</f>
        <v>4000</v>
      </c>
      <c r="H37" s="19">
        <f t="shared" ref="H37:H44" si="12">SUM(E37:G37)</f>
        <v>6000</v>
      </c>
      <c r="J37" s="14"/>
      <c r="K37" s="88"/>
      <c r="L37" s="15"/>
      <c r="M37" s="15"/>
      <c r="N37" s="15"/>
      <c r="O37" s="16"/>
    </row>
    <row r="38" spans="1:17">
      <c r="A38" s="40" t="s">
        <v>17</v>
      </c>
      <c r="B38" s="39" t="s">
        <v>16</v>
      </c>
      <c r="C38" s="41"/>
      <c r="D38" s="41"/>
      <c r="E38" s="42"/>
      <c r="F38" s="42"/>
      <c r="G38" s="42"/>
      <c r="H38" s="19"/>
      <c r="J38" s="14"/>
      <c r="K38" s="88"/>
      <c r="L38" s="15"/>
      <c r="M38" s="15"/>
      <c r="N38" s="15"/>
      <c r="O38" s="16"/>
    </row>
    <row r="39" spans="1:17" hidden="1">
      <c r="A39" s="17"/>
      <c r="B39" s="43" t="s">
        <v>282</v>
      </c>
      <c r="C39" s="44">
        <v>0</v>
      </c>
      <c r="D39" s="24"/>
      <c r="E39" s="38"/>
      <c r="F39" s="38">
        <v>0</v>
      </c>
      <c r="G39" s="38">
        <v>0</v>
      </c>
      <c r="H39" s="19">
        <f t="shared" si="12"/>
        <v>0</v>
      </c>
      <c r="J39" s="14"/>
      <c r="K39" s="88"/>
      <c r="L39" s="15"/>
      <c r="M39" s="15"/>
      <c r="N39" s="15"/>
      <c r="O39" s="16"/>
    </row>
    <row r="40" spans="1:17" hidden="1">
      <c r="A40" s="17"/>
      <c r="B40" s="43" t="s">
        <v>283</v>
      </c>
      <c r="C40" s="44"/>
      <c r="D40" s="24"/>
      <c r="E40" s="38"/>
      <c r="F40" s="38"/>
      <c r="G40" s="38"/>
      <c r="H40" s="19">
        <f t="shared" si="12"/>
        <v>0</v>
      </c>
      <c r="J40" s="14"/>
      <c r="K40" s="88"/>
      <c r="L40" s="15"/>
      <c r="M40" s="15"/>
      <c r="N40" s="15"/>
      <c r="O40" s="16"/>
    </row>
    <row r="41" spans="1:17" hidden="1">
      <c r="A41" s="17"/>
      <c r="B41" s="43" t="s">
        <v>284</v>
      </c>
      <c r="C41" s="44">
        <v>0</v>
      </c>
      <c r="D41" s="24"/>
      <c r="E41" s="38"/>
      <c r="F41" s="38"/>
      <c r="G41" s="38"/>
      <c r="H41" s="19">
        <f t="shared" si="12"/>
        <v>0</v>
      </c>
      <c r="J41" s="14"/>
      <c r="K41" s="88"/>
      <c r="L41" s="15"/>
      <c r="M41" s="15"/>
      <c r="N41" s="15"/>
      <c r="O41" s="16"/>
    </row>
    <row r="42" spans="1:17" hidden="1">
      <c r="A42" s="17"/>
      <c r="B42" s="45" t="s">
        <v>285</v>
      </c>
      <c r="C42" s="44">
        <v>0</v>
      </c>
      <c r="D42" s="24"/>
      <c r="E42" s="38"/>
      <c r="F42" s="38"/>
      <c r="G42" s="38"/>
      <c r="H42" s="19">
        <f t="shared" si="12"/>
        <v>0</v>
      </c>
      <c r="J42" s="14"/>
      <c r="K42" s="88"/>
      <c r="L42" s="15"/>
      <c r="M42" s="15"/>
      <c r="N42" s="15"/>
      <c r="O42" s="16"/>
    </row>
    <row r="43" spans="1:17" ht="14.25" hidden="1" customHeight="1">
      <c r="A43" s="17"/>
      <c r="B43" s="24" t="s">
        <v>286</v>
      </c>
      <c r="C43" s="44">
        <v>0</v>
      </c>
      <c r="D43" s="24"/>
      <c r="E43" s="38"/>
      <c r="F43" s="38"/>
      <c r="G43" s="38"/>
      <c r="H43" s="19">
        <f t="shared" si="12"/>
        <v>0</v>
      </c>
      <c r="J43" s="14"/>
      <c r="K43" s="88"/>
      <c r="L43" s="15"/>
      <c r="M43" s="15"/>
      <c r="N43" s="15"/>
      <c r="O43" s="16"/>
    </row>
    <row r="44" spans="1:17">
      <c r="A44" s="40"/>
      <c r="B44" s="316" t="s">
        <v>11</v>
      </c>
      <c r="C44" s="47"/>
      <c r="D44" s="39"/>
      <c r="E44" s="22">
        <f>SUM(E39:E42)</f>
        <v>0</v>
      </c>
      <c r="F44" s="22">
        <f t="shared" ref="F44:G44" si="13">SUM(F39:F42)</f>
        <v>0</v>
      </c>
      <c r="G44" s="22">
        <f t="shared" si="13"/>
        <v>0</v>
      </c>
      <c r="H44" s="19">
        <f t="shared" si="12"/>
        <v>0</v>
      </c>
      <c r="J44" s="14"/>
      <c r="K44" s="88"/>
      <c r="L44" s="15"/>
      <c r="M44" s="15"/>
      <c r="N44" s="15"/>
      <c r="O44" s="16"/>
    </row>
    <row r="45" spans="1:17">
      <c r="A45" s="23" t="s">
        <v>10</v>
      </c>
      <c r="B45" s="18" t="s">
        <v>9</v>
      </c>
      <c r="C45" s="18"/>
      <c r="D45" s="18"/>
      <c r="E45" s="42"/>
      <c r="F45" s="42"/>
      <c r="G45" s="42"/>
      <c r="H45" s="19"/>
      <c r="J45" s="14"/>
      <c r="K45" s="88"/>
      <c r="L45" s="15"/>
      <c r="M45" s="15"/>
      <c r="N45" s="15"/>
      <c r="O45" s="16"/>
    </row>
    <row r="46" spans="1:17">
      <c r="A46" s="17"/>
      <c r="B46" s="21" t="s">
        <v>8</v>
      </c>
      <c r="C46" s="18"/>
      <c r="D46" s="18"/>
      <c r="E46" s="38">
        <v>2028</v>
      </c>
      <c r="F46" s="38">
        <v>1879</v>
      </c>
      <c r="G46" s="38">
        <v>4000</v>
      </c>
      <c r="H46" s="19">
        <v>0</v>
      </c>
      <c r="J46" s="14"/>
      <c r="K46" s="88"/>
      <c r="L46" s="15"/>
      <c r="M46" s="15"/>
      <c r="N46" s="15"/>
      <c r="O46" s="16"/>
    </row>
    <row r="47" spans="1:17">
      <c r="A47" s="17"/>
      <c r="B47" s="21" t="s">
        <v>280</v>
      </c>
      <c r="C47" s="18"/>
      <c r="D47" s="18"/>
      <c r="E47" s="22">
        <v>0</v>
      </c>
      <c r="F47" s="22">
        <v>0</v>
      </c>
      <c r="G47" s="22">
        <v>3523</v>
      </c>
      <c r="H47" s="19">
        <f t="shared" ref="H47:H65" si="14">SUM(E47:G47)</f>
        <v>3523</v>
      </c>
      <c r="J47" s="14"/>
      <c r="K47" s="88"/>
      <c r="L47" s="15"/>
      <c r="M47" s="15"/>
      <c r="N47" s="15"/>
      <c r="O47" s="16"/>
    </row>
    <row r="48" spans="1:17">
      <c r="A48" s="17"/>
      <c r="B48" s="21" t="s">
        <v>7</v>
      </c>
      <c r="C48" s="18"/>
      <c r="D48" s="18"/>
      <c r="E48" s="22">
        <v>0</v>
      </c>
      <c r="F48" s="22">
        <v>0</v>
      </c>
      <c r="G48" s="22">
        <v>0</v>
      </c>
      <c r="H48" s="19">
        <f t="shared" si="14"/>
        <v>0</v>
      </c>
      <c r="J48" s="14"/>
      <c r="K48" s="88"/>
      <c r="L48" s="15"/>
      <c r="M48" s="15"/>
      <c r="N48" s="15"/>
      <c r="O48" s="16"/>
    </row>
    <row r="49" spans="1:15">
      <c r="A49" s="17"/>
      <c r="B49" s="21" t="s">
        <v>287</v>
      </c>
      <c r="C49" s="18"/>
      <c r="D49" s="18"/>
      <c r="E49" s="38">
        <v>0</v>
      </c>
      <c r="F49" s="38">
        <v>0</v>
      </c>
      <c r="G49" s="38">
        <v>0</v>
      </c>
      <c r="H49" s="19">
        <f t="shared" si="14"/>
        <v>0</v>
      </c>
      <c r="J49" s="14"/>
      <c r="K49" s="88"/>
      <c r="L49" s="15"/>
      <c r="M49" s="15"/>
      <c r="N49" s="15"/>
      <c r="O49" s="16"/>
    </row>
    <row r="50" spans="1:15">
      <c r="A50" s="17"/>
      <c r="B50" s="185" t="s">
        <v>202</v>
      </c>
      <c r="C50" s="18"/>
      <c r="D50" s="18" t="s">
        <v>196</v>
      </c>
      <c r="E50" s="38">
        <f t="shared" ref="E50:G51" si="15">+E74+E77</f>
        <v>29640</v>
      </c>
      <c r="F50" s="38">
        <f t="shared" si="15"/>
        <v>28080</v>
      </c>
      <c r="G50" s="38">
        <f t="shared" si="15"/>
        <v>36660</v>
      </c>
      <c r="H50" s="19">
        <f t="shared" si="14"/>
        <v>94380</v>
      </c>
      <c r="J50" s="14"/>
      <c r="K50" s="88"/>
      <c r="L50" s="15"/>
      <c r="M50" s="15"/>
      <c r="N50" s="15"/>
      <c r="O50" s="16"/>
    </row>
    <row r="51" spans="1:15">
      <c r="A51" s="17"/>
      <c r="B51" s="185" t="s">
        <v>194</v>
      </c>
      <c r="C51" s="18"/>
      <c r="D51" s="18" t="s">
        <v>197</v>
      </c>
      <c r="E51" s="38">
        <f t="shared" si="15"/>
        <v>30058</v>
      </c>
      <c r="F51" s="38">
        <f t="shared" si="15"/>
        <v>28476</v>
      </c>
      <c r="G51" s="38">
        <f t="shared" si="15"/>
        <v>37177</v>
      </c>
      <c r="H51" s="19">
        <f t="shared" si="14"/>
        <v>95711</v>
      </c>
      <c r="J51" s="14"/>
      <c r="K51" s="88"/>
      <c r="L51" s="15"/>
      <c r="M51" s="15"/>
      <c r="N51" s="15"/>
      <c r="O51" s="16"/>
    </row>
    <row r="52" spans="1:15" hidden="1">
      <c r="A52" s="17"/>
      <c r="B52" s="185" t="s">
        <v>195</v>
      </c>
      <c r="C52" s="18"/>
      <c r="D52" s="18"/>
      <c r="E52" s="38"/>
      <c r="F52" s="38"/>
      <c r="G52" s="38"/>
      <c r="H52" s="19"/>
      <c r="J52" s="14"/>
      <c r="K52" s="88"/>
      <c r="L52" s="15"/>
      <c r="M52" s="15"/>
      <c r="N52" s="15"/>
      <c r="O52" s="16"/>
    </row>
    <row r="53" spans="1:15" hidden="1">
      <c r="A53" s="17"/>
      <c r="B53" s="185" t="s">
        <v>255</v>
      </c>
      <c r="C53" s="18"/>
      <c r="D53" s="18"/>
      <c r="E53" s="38"/>
      <c r="F53" s="38"/>
      <c r="G53" s="38"/>
      <c r="H53" s="19"/>
      <c r="J53" s="14"/>
      <c r="K53" s="88"/>
      <c r="L53" s="15"/>
      <c r="M53" s="15"/>
      <c r="N53" s="15"/>
      <c r="O53" s="16"/>
    </row>
    <row r="54" spans="1:15" hidden="1">
      <c r="A54" s="17"/>
      <c r="B54" s="185" t="s">
        <v>324</v>
      </c>
      <c r="C54" s="18"/>
      <c r="D54" s="18"/>
      <c r="E54" s="38"/>
      <c r="F54" s="38"/>
      <c r="G54" s="38"/>
      <c r="H54" s="19"/>
      <c r="J54" s="14"/>
      <c r="K54" s="88"/>
      <c r="L54" s="15"/>
      <c r="M54" s="15"/>
      <c r="N54" s="15"/>
      <c r="O54" s="16"/>
    </row>
    <row r="55" spans="1:15">
      <c r="A55" s="17"/>
      <c r="B55" s="21" t="s">
        <v>6</v>
      </c>
      <c r="C55" s="48"/>
      <c r="D55" s="186">
        <v>2</v>
      </c>
      <c r="E55" s="38">
        <f>SUM(E50:E54)</f>
        <v>59698</v>
      </c>
      <c r="F55" s="38">
        <f t="shared" ref="F55:G55" si="16">SUM(F50:F54)</f>
        <v>56556</v>
      </c>
      <c r="G55" s="38">
        <f t="shared" si="16"/>
        <v>73837</v>
      </c>
      <c r="H55" s="19">
        <f t="shared" si="14"/>
        <v>190091</v>
      </c>
      <c r="J55" s="14"/>
      <c r="K55" s="88"/>
      <c r="L55" s="15"/>
      <c r="M55" s="15"/>
      <c r="N55" s="15"/>
      <c r="O55" s="16"/>
    </row>
    <row r="56" spans="1:15">
      <c r="A56" s="17"/>
      <c r="B56" s="21" t="s">
        <v>290</v>
      </c>
      <c r="C56" s="48"/>
      <c r="D56" s="309"/>
      <c r="E56" s="38"/>
      <c r="F56" s="38"/>
      <c r="G56" s="38"/>
      <c r="H56" s="19"/>
      <c r="J56" s="14"/>
      <c r="K56" s="88"/>
      <c r="L56" s="15"/>
      <c r="M56" s="15"/>
      <c r="N56" s="15"/>
      <c r="O56" s="16"/>
    </row>
    <row r="57" spans="1:15">
      <c r="A57" s="17"/>
      <c r="B57" s="21" t="s">
        <v>289</v>
      </c>
      <c r="C57" s="18"/>
      <c r="D57" s="18"/>
      <c r="E57" s="38">
        <f>L57*$K57</f>
        <v>16238</v>
      </c>
      <c r="F57" s="38">
        <f>$K57*$O57*M57</f>
        <v>17049.900000000001</v>
      </c>
      <c r="G57" s="38">
        <f>$K57*$O57^2*N57</f>
        <v>17902.395</v>
      </c>
      <c r="H57" s="19">
        <f t="shared" si="14"/>
        <v>51190.294999999998</v>
      </c>
      <c r="J57" s="49">
        <v>16238</v>
      </c>
      <c r="K57" s="96">
        <f>+J57/12</f>
        <v>1353.1666666666667</v>
      </c>
      <c r="L57" s="50">
        <f>+L16+L17</f>
        <v>12</v>
      </c>
      <c r="M57" s="50">
        <f>+M16+M17</f>
        <v>12</v>
      </c>
      <c r="N57" s="50">
        <f>+N16+N17</f>
        <v>12</v>
      </c>
      <c r="O57" s="327">
        <v>1.05</v>
      </c>
    </row>
    <row r="58" spans="1:15">
      <c r="A58" s="17"/>
      <c r="B58" s="308" t="s">
        <v>127</v>
      </c>
      <c r="C58" s="307"/>
      <c r="D58" s="18"/>
      <c r="E58" s="38">
        <f>+L58*$J$58</f>
        <v>0</v>
      </c>
      <c r="F58" s="38">
        <f>+M58*$J$58*$O$58</f>
        <v>0</v>
      </c>
      <c r="G58" s="38">
        <f>+N58*$J$58*$O$58^2</f>
        <v>0</v>
      </c>
      <c r="H58" s="19">
        <f t="shared" si="14"/>
        <v>0</v>
      </c>
      <c r="J58" s="126">
        <v>2647.68</v>
      </c>
      <c r="K58" s="96"/>
      <c r="L58" s="50">
        <f>IF(L18&gt;=1,1,0)</f>
        <v>0</v>
      </c>
      <c r="M58" s="50">
        <f>IF(M18&gt;=1,1,0)</f>
        <v>0</v>
      </c>
      <c r="N58" s="50">
        <f>IF(N18&gt;=1,1,0)</f>
        <v>0</v>
      </c>
      <c r="O58" s="327">
        <v>1.05</v>
      </c>
    </row>
    <row r="59" spans="1:15">
      <c r="A59" s="17"/>
      <c r="B59" s="18" t="s">
        <v>48</v>
      </c>
      <c r="C59" s="18"/>
      <c r="D59" s="18"/>
      <c r="E59" s="22">
        <f>SUM(E46:E49,E55:E58)</f>
        <v>77964</v>
      </c>
      <c r="F59" s="22">
        <f>SUM(F46:F49,F55:F58)</f>
        <v>75484.899999999994</v>
      </c>
      <c r="G59" s="22">
        <f>SUM(G46:G49,G55:G58)</f>
        <v>99262.395000000004</v>
      </c>
      <c r="H59" s="19">
        <f t="shared" si="14"/>
        <v>252711.29499999998</v>
      </c>
      <c r="J59" s="14"/>
      <c r="K59" s="88"/>
      <c r="L59" s="15"/>
      <c r="M59" s="15"/>
      <c r="N59" s="15"/>
      <c r="O59" s="16"/>
    </row>
    <row r="60" spans="1:15" s="34" customFormat="1">
      <c r="A60" s="51" t="s">
        <v>5</v>
      </c>
      <c r="B60" s="31" t="s">
        <v>4</v>
      </c>
      <c r="C60" s="31"/>
      <c r="D60" s="31"/>
      <c r="E60" s="32">
        <f>E30+E34+E44+E59+E37</f>
        <v>146698</v>
      </c>
      <c r="F60" s="32">
        <f>F30+F34+F44+F59+F35+F36</f>
        <v>145556.04999999999</v>
      </c>
      <c r="G60" s="32">
        <f>G30+G34+G44+G59+G35+G36</f>
        <v>176837.15250000003</v>
      </c>
      <c r="H60" s="33">
        <f t="shared" si="14"/>
        <v>469091.20250000001</v>
      </c>
      <c r="J60" s="35"/>
      <c r="K60" s="89"/>
      <c r="L60" s="52"/>
      <c r="M60" s="52"/>
      <c r="N60" s="52"/>
      <c r="O60" s="53"/>
    </row>
    <row r="61" spans="1:15">
      <c r="A61" s="285"/>
      <c r="B61" s="54" t="s">
        <v>291</v>
      </c>
      <c r="C61" s="54"/>
      <c r="D61" s="55"/>
      <c r="E61" s="56">
        <f>+IF(E55&gt;=25000,E60-E57-E58-E34-E55-E44+25000*D55,E60-E57-E58-E34-E44)</f>
        <v>120762</v>
      </c>
      <c r="F61" s="56">
        <f>+F60-F57-F34-F55-F44-F58</f>
        <v>71950.149999999994</v>
      </c>
      <c r="G61" s="56">
        <f>+G60-G57-G34-G55-G44-G58</f>
        <v>85097.757500000036</v>
      </c>
      <c r="H61" s="57">
        <f t="shared" si="14"/>
        <v>277809.90750000003</v>
      </c>
      <c r="J61" s="14"/>
      <c r="K61" s="88"/>
      <c r="L61" s="15"/>
      <c r="M61" s="15"/>
      <c r="N61" s="15"/>
      <c r="O61" s="16"/>
    </row>
    <row r="62" spans="1:15">
      <c r="A62" s="51" t="s">
        <v>3</v>
      </c>
      <c r="B62" s="58" t="s">
        <v>2</v>
      </c>
      <c r="C62" s="58"/>
      <c r="D62" s="124"/>
      <c r="E62" s="42"/>
      <c r="F62" s="42"/>
      <c r="G62" s="42"/>
      <c r="H62" s="19"/>
      <c r="J62" s="14"/>
      <c r="K62" s="88"/>
      <c r="L62" s="15"/>
      <c r="M62" s="15"/>
      <c r="N62" s="15"/>
      <c r="O62" s="16"/>
    </row>
    <row r="63" spans="1:15" s="34" customFormat="1">
      <c r="A63" s="315"/>
      <c r="B63" s="405" t="s">
        <v>293</v>
      </c>
      <c r="C63" s="405"/>
      <c r="D63" s="124">
        <f>VLOOKUP(B63,Fringe!$A$27:$B$35,2,0)</f>
        <v>0.55000000000000004</v>
      </c>
      <c r="E63" s="125">
        <f>+E61*$D$63</f>
        <v>66419.100000000006</v>
      </c>
      <c r="F63" s="125"/>
      <c r="G63" s="125"/>
      <c r="H63" s="60">
        <f t="shared" si="14"/>
        <v>66419.100000000006</v>
      </c>
      <c r="J63" s="35"/>
      <c r="K63" s="89"/>
      <c r="L63" s="52"/>
      <c r="M63" s="52"/>
      <c r="N63" s="52"/>
      <c r="O63" s="303"/>
    </row>
    <row r="64" spans="1:15" s="34" customFormat="1" ht="15" thickBot="1">
      <c r="A64" s="30"/>
      <c r="B64" s="405" t="s">
        <v>294</v>
      </c>
      <c r="C64" s="405"/>
      <c r="D64" s="124">
        <f>VLOOKUP(B64,Fringe!$A$27:$B$35,2,0)</f>
        <v>0.56000000000000005</v>
      </c>
      <c r="E64" s="59"/>
      <c r="F64" s="59">
        <f>+F61*$D$64</f>
        <v>40292.084000000003</v>
      </c>
      <c r="G64" s="59">
        <f t="shared" ref="G64" si="17">+G61*$D$64</f>
        <v>47654.744200000023</v>
      </c>
      <c r="H64" s="60">
        <f t="shared" si="14"/>
        <v>87946.828200000018</v>
      </c>
      <c r="J64" s="35"/>
      <c r="K64" s="89"/>
      <c r="L64" s="52"/>
      <c r="M64" s="52"/>
      <c r="N64" s="52"/>
      <c r="O64" s="303"/>
    </row>
    <row r="65" spans="1:15" s="34" customFormat="1" ht="22" customHeight="1" thickBot="1">
      <c r="A65" s="62" t="s">
        <v>1</v>
      </c>
      <c r="B65" s="63" t="s">
        <v>0</v>
      </c>
      <c r="C65" s="63"/>
      <c r="D65" s="63"/>
      <c r="E65" s="64">
        <f>E63+E60+E64</f>
        <v>213117.1</v>
      </c>
      <c r="F65" s="64">
        <f t="shared" ref="F65:G65" si="18">F63+F60+F64</f>
        <v>185848.13399999999</v>
      </c>
      <c r="G65" s="64">
        <f t="shared" si="18"/>
        <v>224491.89670000004</v>
      </c>
      <c r="H65" s="301">
        <f t="shared" si="14"/>
        <v>623457.1307000001</v>
      </c>
      <c r="I65" s="65"/>
      <c r="J65" s="272"/>
      <c r="K65" s="304"/>
      <c r="L65" s="273"/>
      <c r="M65" s="273"/>
      <c r="N65" s="273"/>
      <c r="O65" s="305"/>
    </row>
    <row r="66" spans="1:15">
      <c r="E66" s="67"/>
      <c r="F66" s="67"/>
      <c r="G66" s="67"/>
      <c r="H66" s="67"/>
    </row>
    <row r="67" spans="1:15" s="195" customFormat="1">
      <c r="A67" s="68" t="s">
        <v>53</v>
      </c>
      <c r="B67" s="68"/>
      <c r="C67" s="68"/>
    </row>
    <row r="68" spans="1:15" s="195" customFormat="1">
      <c r="B68" s="2" t="s">
        <v>206</v>
      </c>
      <c r="C68" s="2"/>
      <c r="D68" s="2"/>
      <c r="E68" s="2"/>
      <c r="F68" s="2"/>
      <c r="G68" s="2"/>
      <c r="H68" s="2"/>
    </row>
    <row r="69" spans="1:15" s="195" customFormat="1">
      <c r="B69" s="2" t="s">
        <v>205</v>
      </c>
      <c r="C69" s="2"/>
      <c r="D69" s="2"/>
      <c r="E69" s="2"/>
      <c r="F69" s="2"/>
      <c r="G69" s="2"/>
      <c r="H69" s="2"/>
    </row>
    <row r="70" spans="1:15" s="195" customFormat="1">
      <c r="B70" s="2"/>
      <c r="C70" s="2"/>
      <c r="D70" s="2"/>
      <c r="E70" s="2"/>
      <c r="F70" s="2"/>
      <c r="G70" s="2"/>
      <c r="H70" s="2"/>
    </row>
    <row r="71" spans="1:15" s="195" customFormat="1" ht="19" thickBot="1">
      <c r="A71" s="406" t="s">
        <v>224</v>
      </c>
      <c r="B71" s="406"/>
      <c r="C71" s="406"/>
      <c r="D71" s="406"/>
      <c r="E71" s="406"/>
      <c r="F71" s="406"/>
      <c r="G71" s="406"/>
      <c r="H71" s="406"/>
    </row>
    <row r="72" spans="1:15">
      <c r="A72" s="231" t="s">
        <v>209</v>
      </c>
      <c r="B72" s="10"/>
      <c r="C72" s="10"/>
      <c r="D72" s="10"/>
      <c r="E72" s="10"/>
      <c r="F72" s="10"/>
      <c r="G72" s="10"/>
      <c r="H72" s="209"/>
      <c r="J72" s="2"/>
      <c r="K72" s="2"/>
    </row>
    <row r="73" spans="1:15">
      <c r="A73" s="17"/>
      <c r="B73" s="197" t="s">
        <v>210</v>
      </c>
      <c r="C73" s="24"/>
      <c r="D73" s="207"/>
      <c r="E73" s="207">
        <f>+E60-E55</f>
        <v>87000</v>
      </c>
      <c r="F73" s="207">
        <f t="shared" ref="F73:G73" si="19">+F60-F55</f>
        <v>89000.049999999988</v>
      </c>
      <c r="G73" s="207">
        <f t="shared" si="19"/>
        <v>103000.15250000003</v>
      </c>
      <c r="H73" s="210">
        <f>SUM(E73:G73)</f>
        <v>279000.20250000001</v>
      </c>
      <c r="J73" s="2"/>
    </row>
    <row r="74" spans="1:15">
      <c r="A74" s="17"/>
      <c r="B74" s="197" t="s">
        <v>207</v>
      </c>
      <c r="C74" s="24"/>
      <c r="D74" s="198"/>
      <c r="E74" s="199">
        <v>19000</v>
      </c>
      <c r="F74" s="199">
        <v>18000</v>
      </c>
      <c r="G74" s="199">
        <v>23500</v>
      </c>
      <c r="H74" s="211">
        <f>SUM(E74:G74)</f>
        <v>60500</v>
      </c>
      <c r="J74" s="2"/>
    </row>
    <row r="75" spans="1:15" ht="15" thickBot="1">
      <c r="A75" s="17"/>
      <c r="B75" s="197" t="s">
        <v>208</v>
      </c>
      <c r="C75" s="24"/>
      <c r="D75" s="198"/>
      <c r="E75" s="199">
        <v>19000</v>
      </c>
      <c r="F75" s="199">
        <v>18000</v>
      </c>
      <c r="G75" s="199">
        <v>23500</v>
      </c>
      <c r="H75" s="211">
        <f>SUM(E75:G75)</f>
        <v>60500</v>
      </c>
      <c r="J75" s="2"/>
    </row>
    <row r="76" spans="1:15" s="72" customFormat="1" ht="20" customHeight="1" thickBot="1">
      <c r="A76" s="212"/>
      <c r="B76" s="221" t="s">
        <v>211</v>
      </c>
      <c r="C76" s="222"/>
      <c r="D76" s="223"/>
      <c r="E76" s="223">
        <f t="shared" ref="E76:H76" si="20">SUM(E73:E75)</f>
        <v>125000</v>
      </c>
      <c r="F76" s="223">
        <f t="shared" si="20"/>
        <v>125000.04999999999</v>
      </c>
      <c r="G76" s="223">
        <f t="shared" si="20"/>
        <v>150000.15250000003</v>
      </c>
      <c r="H76" s="224">
        <f t="shared" si="20"/>
        <v>400000.20250000001</v>
      </c>
      <c r="I76" s="200" t="s">
        <v>216</v>
      </c>
      <c r="J76" s="201"/>
      <c r="K76" s="200"/>
    </row>
    <row r="77" spans="1:15">
      <c r="A77" s="17"/>
      <c r="B77" s="197" t="s">
        <v>214</v>
      </c>
      <c r="C77" s="24"/>
      <c r="D77" s="198"/>
      <c r="E77" s="199">
        <f>+E74*0.56</f>
        <v>10640.000000000002</v>
      </c>
      <c r="F77" s="199">
        <f t="shared" ref="F77:G77" si="21">+F74*0.56</f>
        <v>10080.000000000002</v>
      </c>
      <c r="G77" s="199">
        <f t="shared" si="21"/>
        <v>13160.000000000002</v>
      </c>
      <c r="H77" s="211">
        <f>SUM(E77:G77)</f>
        <v>33880.000000000007</v>
      </c>
      <c r="J77" s="2"/>
    </row>
    <row r="78" spans="1:15">
      <c r="A78" s="17"/>
      <c r="B78" s="69" t="s">
        <v>213</v>
      </c>
      <c r="C78" s="20"/>
      <c r="D78" s="196"/>
      <c r="E78" s="70">
        <f>+E75*58.2%</f>
        <v>11058.000000000002</v>
      </c>
      <c r="F78" s="70">
        <f t="shared" ref="F78:G78" si="22">+F75*58.2%</f>
        <v>10476.000000000002</v>
      </c>
      <c r="G78" s="70">
        <f t="shared" si="22"/>
        <v>13677.000000000002</v>
      </c>
      <c r="H78" s="213">
        <f>SUM(E78:G78)</f>
        <v>35211.000000000007</v>
      </c>
      <c r="J78" s="2"/>
    </row>
    <row r="79" spans="1:15" s="34" customFormat="1" ht="15.5" customHeight="1">
      <c r="A79" s="30"/>
      <c r="B79" s="225" t="s">
        <v>212</v>
      </c>
      <c r="C79" s="225"/>
      <c r="D79" s="226"/>
      <c r="E79" s="226">
        <f>SUM(E77:E78)</f>
        <v>21698.000000000004</v>
      </c>
      <c r="F79" s="226">
        <f>SUM(F77:F78)</f>
        <v>20556.000000000004</v>
      </c>
      <c r="G79" s="226">
        <f>SUM(G77:G78)</f>
        <v>26837.000000000004</v>
      </c>
      <c r="H79" s="227">
        <f>SUM(H77:H78)</f>
        <v>69091.000000000015</v>
      </c>
      <c r="K79" s="66"/>
    </row>
    <row r="80" spans="1:15" ht="15.5" customHeight="1">
      <c r="A80" s="17"/>
      <c r="B80" s="228" t="s">
        <v>215</v>
      </c>
      <c r="C80" s="229"/>
      <c r="D80" s="230"/>
      <c r="E80" s="226">
        <f>+E76+E79</f>
        <v>146698</v>
      </c>
      <c r="F80" s="226">
        <f t="shared" ref="F80:H80" si="23">+F76+F79</f>
        <v>145556.04999999999</v>
      </c>
      <c r="G80" s="226">
        <f t="shared" si="23"/>
        <v>176837.15250000003</v>
      </c>
      <c r="H80" s="227">
        <f t="shared" si="23"/>
        <v>469091.20250000001</v>
      </c>
      <c r="J80" s="2"/>
    </row>
    <row r="81" spans="1:11" s="202" customFormat="1" ht="20" customHeight="1">
      <c r="A81" s="232" t="s">
        <v>217</v>
      </c>
      <c r="B81" s="215"/>
      <c r="C81" s="15"/>
      <c r="D81" s="198"/>
      <c r="E81" s="216"/>
      <c r="F81" s="216"/>
      <c r="G81" s="216"/>
      <c r="H81" s="217"/>
      <c r="K81" s="203"/>
    </row>
    <row r="82" spans="1:11" s="202" customFormat="1" ht="29" customHeight="1">
      <c r="A82" s="214"/>
      <c r="B82" s="205" t="s">
        <v>221</v>
      </c>
      <c r="C82" s="205" t="s">
        <v>219</v>
      </c>
      <c r="D82" s="205" t="s">
        <v>220</v>
      </c>
      <c r="E82" s="216"/>
      <c r="F82" s="216"/>
      <c r="G82" s="216"/>
      <c r="H82" s="217"/>
      <c r="K82" s="203"/>
    </row>
    <row r="83" spans="1:11" s="202" customFormat="1" ht="16" customHeight="1">
      <c r="A83" s="214"/>
      <c r="B83" s="43" t="s">
        <v>218</v>
      </c>
      <c r="C83" s="206">
        <f>+D63</f>
        <v>0.55000000000000004</v>
      </c>
      <c r="D83" s="218">
        <f>+E61</f>
        <v>120762</v>
      </c>
      <c r="E83" s="198">
        <f>+D83*C83</f>
        <v>66419.100000000006</v>
      </c>
      <c r="F83" s="198"/>
      <c r="G83" s="198"/>
      <c r="H83" s="217"/>
      <c r="K83" s="203"/>
    </row>
    <row r="84" spans="1:11" s="202" customFormat="1" ht="16" customHeight="1">
      <c r="A84" s="214"/>
      <c r="B84" s="43" t="s">
        <v>218</v>
      </c>
      <c r="C84" s="206">
        <f>+D64</f>
        <v>0.56000000000000005</v>
      </c>
      <c r="D84" s="188">
        <f>+F61</f>
        <v>71950.149999999994</v>
      </c>
      <c r="E84" s="198"/>
      <c r="F84" s="198">
        <f>+D84*C84</f>
        <v>40292.084000000003</v>
      </c>
      <c r="G84" s="198"/>
      <c r="H84" s="217"/>
      <c r="K84" s="203"/>
    </row>
    <row r="85" spans="1:11" ht="16" customHeight="1">
      <c r="A85" s="219"/>
      <c r="B85" s="204" t="s">
        <v>218</v>
      </c>
      <c r="C85" s="208">
        <f>+D64</f>
        <v>0.56000000000000005</v>
      </c>
      <c r="D85" s="189">
        <f>+G61</f>
        <v>85097.757500000036</v>
      </c>
      <c r="E85" s="71"/>
      <c r="F85" s="71"/>
      <c r="G85" s="71">
        <f>+D85*C85</f>
        <v>47654.744200000023</v>
      </c>
      <c r="H85" s="220"/>
      <c r="J85" s="2"/>
    </row>
    <row r="86" spans="1:11">
      <c r="A86" s="233"/>
      <c r="B86" s="228" t="s">
        <v>222</v>
      </c>
      <c r="C86" s="229"/>
      <c r="D86" s="198"/>
      <c r="E86" s="216">
        <f>SUM(E83:E85)</f>
        <v>66419.100000000006</v>
      </c>
      <c r="F86" s="216">
        <f>SUM(F83:F85)</f>
        <v>40292.084000000003</v>
      </c>
      <c r="G86" s="216">
        <f>SUM(G83:G85)</f>
        <v>47654.744200000023</v>
      </c>
      <c r="H86" s="217">
        <f>SUM(E86:G86)</f>
        <v>154365.92820000002</v>
      </c>
      <c r="J86" s="2"/>
    </row>
    <row r="87" spans="1:11" ht="22.5" customHeight="1" thickBot="1">
      <c r="A87" s="234" t="s">
        <v>223</v>
      </c>
      <c r="B87" s="61"/>
      <c r="C87" s="61"/>
      <c r="D87" s="235"/>
      <c r="E87" s="235">
        <f>+E80+E86</f>
        <v>213117.1</v>
      </c>
      <c r="F87" s="235">
        <f t="shared" ref="F87:G87" si="24">+F80+F86</f>
        <v>185848.13399999999</v>
      </c>
      <c r="G87" s="235">
        <f t="shared" si="24"/>
        <v>224491.89670000004</v>
      </c>
      <c r="H87" s="295">
        <f>SUM(E87:G87)</f>
        <v>623457.1307000001</v>
      </c>
      <c r="J87" s="2"/>
    </row>
    <row r="88" spans="1:11">
      <c r="A88" s="407" t="s">
        <v>225</v>
      </c>
      <c r="B88" s="408"/>
      <c r="C88" s="408"/>
      <c r="D88" s="408"/>
      <c r="E88" s="408"/>
      <c r="F88" s="408"/>
      <c r="G88" s="408"/>
      <c r="H88" s="409"/>
    </row>
    <row r="89" spans="1:11">
      <c r="A89" s="17" t="s">
        <v>226</v>
      </c>
      <c r="B89" s="24"/>
      <c r="C89" s="24"/>
      <c r="D89" s="24"/>
      <c r="E89" s="24"/>
      <c r="F89" s="24"/>
      <c r="G89" s="24"/>
      <c r="H89" s="16"/>
    </row>
    <row r="90" spans="1:11">
      <c r="A90" s="17"/>
      <c r="B90" s="24" t="s">
        <v>227</v>
      </c>
      <c r="C90" s="24"/>
      <c r="D90" s="24"/>
      <c r="E90" s="24"/>
      <c r="F90" s="24"/>
      <c r="G90" s="24"/>
      <c r="H90" s="236">
        <f>+H76</f>
        <v>400000.20250000001</v>
      </c>
    </row>
    <row r="91" spans="1:11">
      <c r="A91" s="17"/>
      <c r="B91" s="24" t="s">
        <v>228</v>
      </c>
      <c r="C91" s="24"/>
      <c r="D91" s="24"/>
      <c r="E91" s="24"/>
      <c r="F91" s="24"/>
      <c r="G91" s="24"/>
      <c r="H91" s="236">
        <f>+H79</f>
        <v>69091.000000000015</v>
      </c>
    </row>
    <row r="92" spans="1:11">
      <c r="A92" s="17"/>
      <c r="B92" s="24" t="s">
        <v>229</v>
      </c>
      <c r="C92" s="24"/>
      <c r="D92" s="24"/>
      <c r="E92" s="24"/>
      <c r="F92" s="24"/>
      <c r="G92" s="24"/>
      <c r="H92" s="236">
        <f>+H80</f>
        <v>469091.20250000001</v>
      </c>
    </row>
    <row r="93" spans="1:11">
      <c r="A93" s="17"/>
      <c r="B93" s="24" t="s">
        <v>230</v>
      </c>
      <c r="C93" s="24"/>
      <c r="D93" s="24"/>
      <c r="E93" s="24"/>
      <c r="F93" s="24"/>
      <c r="G93" s="24"/>
      <c r="H93" s="236">
        <f>+H86</f>
        <v>154365.92820000002</v>
      </c>
    </row>
    <row r="94" spans="1:11">
      <c r="A94" s="17"/>
      <c r="B94" s="24" t="s">
        <v>231</v>
      </c>
      <c r="C94" s="24"/>
      <c r="D94" s="24"/>
      <c r="E94" s="24"/>
      <c r="F94" s="24"/>
      <c r="G94" s="24"/>
      <c r="H94" s="296">
        <f>SUM(H92:H93)</f>
        <v>623457.1307000001</v>
      </c>
    </row>
    <row r="95" spans="1:11" ht="15" thickBot="1">
      <c r="A95" s="237"/>
      <c r="B95" s="238"/>
      <c r="C95" s="238"/>
      <c r="D95" s="238"/>
      <c r="E95" s="238"/>
      <c r="F95" s="238"/>
      <c r="G95" s="238"/>
      <c r="H95" s="239"/>
    </row>
  </sheetData>
  <mergeCells count="5">
    <mergeCell ref="A71:H71"/>
    <mergeCell ref="A88:H88"/>
    <mergeCell ref="E4:H4"/>
    <mergeCell ref="B63:C63"/>
    <mergeCell ref="B64:C64"/>
  </mergeCells>
  <phoneticPr fontId="24" type="noConversion"/>
  <pageMargins left="0.75" right="0.25" top="0.75" bottom="0.75" header="0.3" footer="0.3"/>
  <pageSetup scale="85" fitToHeight="2" orientation="portrait" horizontalDpi="4294967293" verticalDpi="4294967293" r:id="rId1"/>
  <headerFooter alignWithMargins="0">
    <oddHeader>&amp;A</oddHeader>
    <oddFooter>Page &amp;P of &amp;N</oddFooter>
  </headerFooter>
  <rowBreaks count="1" manualBreakCount="1">
    <brk id="6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A62E9A-F662-45B2-B49F-8626D0AF7354}">
          <x14:formula1>
            <xm:f>Fringe!$A$27:$A$35</xm:f>
          </x14:formula1>
          <xm:sqref>B63:B64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3229-F60B-4DC9-B042-3B206CCD6E40}">
  <sheetPr>
    <pageSetUpPr fitToPage="1"/>
  </sheetPr>
  <dimension ref="A1:AH86"/>
  <sheetViews>
    <sheetView zoomScale="86" zoomScaleNormal="86" workbookViewId="0">
      <pane xSplit="3" ySplit="5" topLeftCell="D28" activePane="bottomRight" state="frozen"/>
      <selection sqref="A1:XFD1"/>
      <selection pane="topRight" sqref="A1:XFD1"/>
      <selection pane="bottomLeft" sqref="A1:XFD1"/>
      <selection pane="bottomRight" activeCell="B18" sqref="B18"/>
    </sheetView>
  </sheetViews>
  <sheetFormatPr defaultColWidth="8.81640625" defaultRowHeight="14.5"/>
  <cols>
    <col min="1" max="1" width="3.81640625" style="2" customWidth="1"/>
    <col min="2" max="2" width="12.81640625" style="2" customWidth="1"/>
    <col min="3" max="3" width="14.453125" style="2" customWidth="1"/>
    <col min="4" max="4" width="12.7265625" style="2" customWidth="1"/>
    <col min="5" max="7" width="15.81640625" style="2" customWidth="1"/>
    <col min="8" max="9" width="10.36328125" style="2" hidden="1" customWidth="1"/>
    <col min="10" max="10" width="15.81640625" style="2" customWidth="1"/>
    <col min="11" max="11" width="2" style="2" customWidth="1"/>
    <col min="12" max="14" width="14.6328125" style="2" customWidth="1"/>
    <col min="15" max="16" width="10.26953125" style="2" hidden="1" customWidth="1"/>
    <col min="17" max="17" width="14.6328125" style="2" customWidth="1"/>
    <col min="18" max="18" width="1.7265625" style="2" customWidth="1"/>
    <col min="19" max="19" width="10.453125" style="3" customWidth="1"/>
    <col min="20" max="20" width="9.90625" style="3" customWidth="1"/>
    <col min="21" max="23" width="8" style="2" customWidth="1"/>
    <col min="24" max="25" width="5.453125" style="2" hidden="1" customWidth="1"/>
    <col min="26" max="26" width="1.7265625" style="2" customWidth="1"/>
    <col min="27" max="29" width="8" style="2" customWidth="1"/>
    <col min="30" max="31" width="5.453125" style="2" hidden="1" customWidth="1"/>
    <col min="32" max="32" width="7.81640625" style="2" bestFit="1" customWidth="1"/>
    <col min="33" max="34" width="11" style="2" customWidth="1"/>
    <col min="35" max="35" width="21.26953125" style="2" bestFit="1" customWidth="1"/>
    <col min="36" max="36" width="8.81640625" style="2"/>
    <col min="37" max="37" width="6.81640625" style="2" customWidth="1"/>
    <col min="38" max="38" width="11.54296875" style="2" bestFit="1" customWidth="1"/>
    <col min="39" max="39" width="11.453125" style="2" bestFit="1" customWidth="1"/>
    <col min="40" max="260" width="8.81640625" style="2"/>
    <col min="261" max="261" width="3.81640625" style="2" customWidth="1"/>
    <col min="262" max="262" width="8.81640625" style="2"/>
    <col min="263" max="263" width="14.453125" style="2" customWidth="1"/>
    <col min="264" max="264" width="38.7265625" style="2" customWidth="1"/>
    <col min="265" max="269" width="14" style="2" bestFit="1" customWidth="1"/>
    <col min="270" max="270" width="10.453125" style="2" bestFit="1" customWidth="1"/>
    <col min="271" max="271" width="8.81640625" style="2"/>
    <col min="272" max="272" width="11.26953125" style="2" bestFit="1" customWidth="1"/>
    <col min="273" max="273" width="5.453125" style="2" bestFit="1" customWidth="1"/>
    <col min="274" max="277" width="5" style="2" bestFit="1" customWidth="1"/>
    <col min="278" max="278" width="7.453125" style="2" bestFit="1" customWidth="1"/>
    <col min="279" max="279" width="10.453125" style="2" bestFit="1" customWidth="1"/>
    <col min="280" max="280" width="8.81640625" style="2"/>
    <col min="281" max="282" width="12.453125" style="2" bestFit="1" customWidth="1"/>
    <col min="283" max="283" width="14" style="2" bestFit="1" customWidth="1"/>
    <col min="284" max="516" width="8.81640625" style="2"/>
    <col min="517" max="517" width="3.81640625" style="2" customWidth="1"/>
    <col min="518" max="518" width="8.81640625" style="2"/>
    <col min="519" max="519" width="14.453125" style="2" customWidth="1"/>
    <col min="520" max="520" width="38.7265625" style="2" customWidth="1"/>
    <col min="521" max="525" width="14" style="2" bestFit="1" customWidth="1"/>
    <col min="526" max="526" width="10.453125" style="2" bestFit="1" customWidth="1"/>
    <col min="527" max="527" width="8.81640625" style="2"/>
    <col min="528" max="528" width="11.26953125" style="2" bestFit="1" customWidth="1"/>
    <col min="529" max="529" width="5.453125" style="2" bestFit="1" customWidth="1"/>
    <col min="530" max="533" width="5" style="2" bestFit="1" customWidth="1"/>
    <col min="534" max="534" width="7.453125" style="2" bestFit="1" customWidth="1"/>
    <col min="535" max="535" width="10.453125" style="2" bestFit="1" customWidth="1"/>
    <col min="536" max="536" width="8.81640625" style="2"/>
    <col min="537" max="538" width="12.453125" style="2" bestFit="1" customWidth="1"/>
    <col min="539" max="539" width="14" style="2" bestFit="1" customWidth="1"/>
    <col min="540" max="772" width="8.81640625" style="2"/>
    <col min="773" max="773" width="3.81640625" style="2" customWidth="1"/>
    <col min="774" max="774" width="8.81640625" style="2"/>
    <col min="775" max="775" width="14.453125" style="2" customWidth="1"/>
    <col min="776" max="776" width="38.7265625" style="2" customWidth="1"/>
    <col min="777" max="781" width="14" style="2" bestFit="1" customWidth="1"/>
    <col min="782" max="782" width="10.453125" style="2" bestFit="1" customWidth="1"/>
    <col min="783" max="783" width="8.81640625" style="2"/>
    <col min="784" max="784" width="11.26953125" style="2" bestFit="1" customWidth="1"/>
    <col min="785" max="785" width="5.453125" style="2" bestFit="1" customWidth="1"/>
    <col min="786" max="789" width="5" style="2" bestFit="1" customWidth="1"/>
    <col min="790" max="790" width="7.453125" style="2" bestFit="1" customWidth="1"/>
    <col min="791" max="791" width="10.453125" style="2" bestFit="1" customWidth="1"/>
    <col min="792" max="792" width="8.81640625" style="2"/>
    <col min="793" max="794" width="12.453125" style="2" bestFit="1" customWidth="1"/>
    <col min="795" max="795" width="14" style="2" bestFit="1" customWidth="1"/>
    <col min="796" max="1028" width="8.81640625" style="2"/>
    <col min="1029" max="1029" width="3.81640625" style="2" customWidth="1"/>
    <col min="1030" max="1030" width="8.81640625" style="2"/>
    <col min="1031" max="1031" width="14.453125" style="2" customWidth="1"/>
    <col min="1032" max="1032" width="38.7265625" style="2" customWidth="1"/>
    <col min="1033" max="1037" width="14" style="2" bestFit="1" customWidth="1"/>
    <col min="1038" max="1038" width="10.453125" style="2" bestFit="1" customWidth="1"/>
    <col min="1039" max="1039" width="8.81640625" style="2"/>
    <col min="1040" max="1040" width="11.26953125" style="2" bestFit="1" customWidth="1"/>
    <col min="1041" max="1041" width="5.453125" style="2" bestFit="1" customWidth="1"/>
    <col min="1042" max="1045" width="5" style="2" bestFit="1" customWidth="1"/>
    <col min="1046" max="1046" width="7.453125" style="2" bestFit="1" customWidth="1"/>
    <col min="1047" max="1047" width="10.453125" style="2" bestFit="1" customWidth="1"/>
    <col min="1048" max="1048" width="8.81640625" style="2"/>
    <col min="1049" max="1050" width="12.453125" style="2" bestFit="1" customWidth="1"/>
    <col min="1051" max="1051" width="14" style="2" bestFit="1" customWidth="1"/>
    <col min="1052" max="1284" width="8.81640625" style="2"/>
    <col min="1285" max="1285" width="3.81640625" style="2" customWidth="1"/>
    <col min="1286" max="1286" width="8.81640625" style="2"/>
    <col min="1287" max="1287" width="14.453125" style="2" customWidth="1"/>
    <col min="1288" max="1288" width="38.7265625" style="2" customWidth="1"/>
    <col min="1289" max="1293" width="14" style="2" bestFit="1" customWidth="1"/>
    <col min="1294" max="1294" width="10.453125" style="2" bestFit="1" customWidth="1"/>
    <col min="1295" max="1295" width="8.81640625" style="2"/>
    <col min="1296" max="1296" width="11.26953125" style="2" bestFit="1" customWidth="1"/>
    <col min="1297" max="1297" width="5.453125" style="2" bestFit="1" customWidth="1"/>
    <col min="1298" max="1301" width="5" style="2" bestFit="1" customWidth="1"/>
    <col min="1302" max="1302" width="7.453125" style="2" bestFit="1" customWidth="1"/>
    <col min="1303" max="1303" width="10.453125" style="2" bestFit="1" customWidth="1"/>
    <col min="1304" max="1304" width="8.81640625" style="2"/>
    <col min="1305" max="1306" width="12.453125" style="2" bestFit="1" customWidth="1"/>
    <col min="1307" max="1307" width="14" style="2" bestFit="1" customWidth="1"/>
    <col min="1308" max="1540" width="8.81640625" style="2"/>
    <col min="1541" max="1541" width="3.81640625" style="2" customWidth="1"/>
    <col min="1542" max="1542" width="8.81640625" style="2"/>
    <col min="1543" max="1543" width="14.453125" style="2" customWidth="1"/>
    <col min="1544" max="1544" width="38.7265625" style="2" customWidth="1"/>
    <col min="1545" max="1549" width="14" style="2" bestFit="1" customWidth="1"/>
    <col min="1550" max="1550" width="10.453125" style="2" bestFit="1" customWidth="1"/>
    <col min="1551" max="1551" width="8.81640625" style="2"/>
    <col min="1552" max="1552" width="11.26953125" style="2" bestFit="1" customWidth="1"/>
    <col min="1553" max="1553" width="5.453125" style="2" bestFit="1" customWidth="1"/>
    <col min="1554" max="1557" width="5" style="2" bestFit="1" customWidth="1"/>
    <col min="1558" max="1558" width="7.453125" style="2" bestFit="1" customWidth="1"/>
    <col min="1559" max="1559" width="10.453125" style="2" bestFit="1" customWidth="1"/>
    <col min="1560" max="1560" width="8.81640625" style="2"/>
    <col min="1561" max="1562" width="12.453125" style="2" bestFit="1" customWidth="1"/>
    <col min="1563" max="1563" width="14" style="2" bestFit="1" customWidth="1"/>
    <col min="1564" max="1796" width="8.81640625" style="2"/>
    <col min="1797" max="1797" width="3.81640625" style="2" customWidth="1"/>
    <col min="1798" max="1798" width="8.81640625" style="2"/>
    <col min="1799" max="1799" width="14.453125" style="2" customWidth="1"/>
    <col min="1800" max="1800" width="38.7265625" style="2" customWidth="1"/>
    <col min="1801" max="1805" width="14" style="2" bestFit="1" customWidth="1"/>
    <col min="1806" max="1806" width="10.453125" style="2" bestFit="1" customWidth="1"/>
    <col min="1807" max="1807" width="8.81640625" style="2"/>
    <col min="1808" max="1808" width="11.26953125" style="2" bestFit="1" customWidth="1"/>
    <col min="1809" max="1809" width="5.453125" style="2" bestFit="1" customWidth="1"/>
    <col min="1810" max="1813" width="5" style="2" bestFit="1" customWidth="1"/>
    <col min="1814" max="1814" width="7.453125" style="2" bestFit="1" customWidth="1"/>
    <col min="1815" max="1815" width="10.453125" style="2" bestFit="1" customWidth="1"/>
    <col min="1816" max="1816" width="8.81640625" style="2"/>
    <col min="1817" max="1818" width="12.453125" style="2" bestFit="1" customWidth="1"/>
    <col min="1819" max="1819" width="14" style="2" bestFit="1" customWidth="1"/>
    <col min="1820" max="2052" width="8.81640625" style="2"/>
    <col min="2053" max="2053" width="3.81640625" style="2" customWidth="1"/>
    <col min="2054" max="2054" width="8.81640625" style="2"/>
    <col min="2055" max="2055" width="14.453125" style="2" customWidth="1"/>
    <col min="2056" max="2056" width="38.7265625" style="2" customWidth="1"/>
    <col min="2057" max="2061" width="14" style="2" bestFit="1" customWidth="1"/>
    <col min="2062" max="2062" width="10.453125" style="2" bestFit="1" customWidth="1"/>
    <col min="2063" max="2063" width="8.81640625" style="2"/>
    <col min="2064" max="2064" width="11.26953125" style="2" bestFit="1" customWidth="1"/>
    <col min="2065" max="2065" width="5.453125" style="2" bestFit="1" customWidth="1"/>
    <col min="2066" max="2069" width="5" style="2" bestFit="1" customWidth="1"/>
    <col min="2070" max="2070" width="7.453125" style="2" bestFit="1" customWidth="1"/>
    <col min="2071" max="2071" width="10.453125" style="2" bestFit="1" customWidth="1"/>
    <col min="2072" max="2072" width="8.81640625" style="2"/>
    <col min="2073" max="2074" width="12.453125" style="2" bestFit="1" customWidth="1"/>
    <col min="2075" max="2075" width="14" style="2" bestFit="1" customWidth="1"/>
    <col min="2076" max="2308" width="8.81640625" style="2"/>
    <col min="2309" max="2309" width="3.81640625" style="2" customWidth="1"/>
    <col min="2310" max="2310" width="8.81640625" style="2"/>
    <col min="2311" max="2311" width="14.453125" style="2" customWidth="1"/>
    <col min="2312" max="2312" width="38.7265625" style="2" customWidth="1"/>
    <col min="2313" max="2317" width="14" style="2" bestFit="1" customWidth="1"/>
    <col min="2318" max="2318" width="10.453125" style="2" bestFit="1" customWidth="1"/>
    <col min="2319" max="2319" width="8.81640625" style="2"/>
    <col min="2320" max="2320" width="11.26953125" style="2" bestFit="1" customWidth="1"/>
    <col min="2321" max="2321" width="5.453125" style="2" bestFit="1" customWidth="1"/>
    <col min="2322" max="2325" width="5" style="2" bestFit="1" customWidth="1"/>
    <col min="2326" max="2326" width="7.453125" style="2" bestFit="1" customWidth="1"/>
    <col min="2327" max="2327" width="10.453125" style="2" bestFit="1" customWidth="1"/>
    <col min="2328" max="2328" width="8.81640625" style="2"/>
    <col min="2329" max="2330" width="12.453125" style="2" bestFit="1" customWidth="1"/>
    <col min="2331" max="2331" width="14" style="2" bestFit="1" customWidth="1"/>
    <col min="2332" max="2564" width="8.81640625" style="2"/>
    <col min="2565" max="2565" width="3.81640625" style="2" customWidth="1"/>
    <col min="2566" max="2566" width="8.81640625" style="2"/>
    <col min="2567" max="2567" width="14.453125" style="2" customWidth="1"/>
    <col min="2568" max="2568" width="38.7265625" style="2" customWidth="1"/>
    <col min="2569" max="2573" width="14" style="2" bestFit="1" customWidth="1"/>
    <col min="2574" max="2574" width="10.453125" style="2" bestFit="1" customWidth="1"/>
    <col min="2575" max="2575" width="8.81640625" style="2"/>
    <col min="2576" max="2576" width="11.26953125" style="2" bestFit="1" customWidth="1"/>
    <col min="2577" max="2577" width="5.453125" style="2" bestFit="1" customWidth="1"/>
    <col min="2578" max="2581" width="5" style="2" bestFit="1" customWidth="1"/>
    <col min="2582" max="2582" width="7.453125" style="2" bestFit="1" customWidth="1"/>
    <col min="2583" max="2583" width="10.453125" style="2" bestFit="1" customWidth="1"/>
    <col min="2584" max="2584" width="8.81640625" style="2"/>
    <col min="2585" max="2586" width="12.453125" style="2" bestFit="1" customWidth="1"/>
    <col min="2587" max="2587" width="14" style="2" bestFit="1" customWidth="1"/>
    <col min="2588" max="2820" width="8.81640625" style="2"/>
    <col min="2821" max="2821" width="3.81640625" style="2" customWidth="1"/>
    <col min="2822" max="2822" width="8.81640625" style="2"/>
    <col min="2823" max="2823" width="14.453125" style="2" customWidth="1"/>
    <col min="2824" max="2824" width="38.7265625" style="2" customWidth="1"/>
    <col min="2825" max="2829" width="14" style="2" bestFit="1" customWidth="1"/>
    <col min="2830" max="2830" width="10.453125" style="2" bestFit="1" customWidth="1"/>
    <col min="2831" max="2831" width="8.81640625" style="2"/>
    <col min="2832" max="2832" width="11.26953125" style="2" bestFit="1" customWidth="1"/>
    <col min="2833" max="2833" width="5.453125" style="2" bestFit="1" customWidth="1"/>
    <col min="2834" max="2837" width="5" style="2" bestFit="1" customWidth="1"/>
    <col min="2838" max="2838" width="7.453125" style="2" bestFit="1" customWidth="1"/>
    <col min="2839" max="2839" width="10.453125" style="2" bestFit="1" customWidth="1"/>
    <col min="2840" max="2840" width="8.81640625" style="2"/>
    <col min="2841" max="2842" width="12.453125" style="2" bestFit="1" customWidth="1"/>
    <col min="2843" max="2843" width="14" style="2" bestFit="1" customWidth="1"/>
    <col min="2844" max="3076" width="8.81640625" style="2"/>
    <col min="3077" max="3077" width="3.81640625" style="2" customWidth="1"/>
    <col min="3078" max="3078" width="8.81640625" style="2"/>
    <col min="3079" max="3079" width="14.453125" style="2" customWidth="1"/>
    <col min="3080" max="3080" width="38.7265625" style="2" customWidth="1"/>
    <col min="3081" max="3085" width="14" style="2" bestFit="1" customWidth="1"/>
    <col min="3086" max="3086" width="10.453125" style="2" bestFit="1" customWidth="1"/>
    <col min="3087" max="3087" width="8.81640625" style="2"/>
    <col min="3088" max="3088" width="11.26953125" style="2" bestFit="1" customWidth="1"/>
    <col min="3089" max="3089" width="5.453125" style="2" bestFit="1" customWidth="1"/>
    <col min="3090" max="3093" width="5" style="2" bestFit="1" customWidth="1"/>
    <col min="3094" max="3094" width="7.453125" style="2" bestFit="1" customWidth="1"/>
    <col min="3095" max="3095" width="10.453125" style="2" bestFit="1" customWidth="1"/>
    <col min="3096" max="3096" width="8.81640625" style="2"/>
    <col min="3097" max="3098" width="12.453125" style="2" bestFit="1" customWidth="1"/>
    <col min="3099" max="3099" width="14" style="2" bestFit="1" customWidth="1"/>
    <col min="3100" max="3332" width="8.81640625" style="2"/>
    <col min="3333" max="3333" width="3.81640625" style="2" customWidth="1"/>
    <col min="3334" max="3334" width="8.81640625" style="2"/>
    <col min="3335" max="3335" width="14.453125" style="2" customWidth="1"/>
    <col min="3336" max="3336" width="38.7265625" style="2" customWidth="1"/>
    <col min="3337" max="3341" width="14" style="2" bestFit="1" customWidth="1"/>
    <col min="3342" max="3342" width="10.453125" style="2" bestFit="1" customWidth="1"/>
    <col min="3343" max="3343" width="8.81640625" style="2"/>
    <col min="3344" max="3344" width="11.26953125" style="2" bestFit="1" customWidth="1"/>
    <col min="3345" max="3345" width="5.453125" style="2" bestFit="1" customWidth="1"/>
    <col min="3346" max="3349" width="5" style="2" bestFit="1" customWidth="1"/>
    <col min="3350" max="3350" width="7.453125" style="2" bestFit="1" customWidth="1"/>
    <col min="3351" max="3351" width="10.453125" style="2" bestFit="1" customWidth="1"/>
    <col min="3352" max="3352" width="8.81640625" style="2"/>
    <col min="3353" max="3354" width="12.453125" style="2" bestFit="1" customWidth="1"/>
    <col min="3355" max="3355" width="14" style="2" bestFit="1" customWidth="1"/>
    <col min="3356" max="3588" width="8.81640625" style="2"/>
    <col min="3589" max="3589" width="3.81640625" style="2" customWidth="1"/>
    <col min="3590" max="3590" width="8.81640625" style="2"/>
    <col min="3591" max="3591" width="14.453125" style="2" customWidth="1"/>
    <col min="3592" max="3592" width="38.7265625" style="2" customWidth="1"/>
    <col min="3593" max="3597" width="14" style="2" bestFit="1" customWidth="1"/>
    <col min="3598" max="3598" width="10.453125" style="2" bestFit="1" customWidth="1"/>
    <col min="3599" max="3599" width="8.81640625" style="2"/>
    <col min="3600" max="3600" width="11.26953125" style="2" bestFit="1" customWidth="1"/>
    <col min="3601" max="3601" width="5.453125" style="2" bestFit="1" customWidth="1"/>
    <col min="3602" max="3605" width="5" style="2" bestFit="1" customWidth="1"/>
    <col min="3606" max="3606" width="7.453125" style="2" bestFit="1" customWidth="1"/>
    <col min="3607" max="3607" width="10.453125" style="2" bestFit="1" customWidth="1"/>
    <col min="3608" max="3608" width="8.81640625" style="2"/>
    <col min="3609" max="3610" width="12.453125" style="2" bestFit="1" customWidth="1"/>
    <col min="3611" max="3611" width="14" style="2" bestFit="1" customWidth="1"/>
    <col min="3612" max="3844" width="8.81640625" style="2"/>
    <col min="3845" max="3845" width="3.81640625" style="2" customWidth="1"/>
    <col min="3846" max="3846" width="8.81640625" style="2"/>
    <col min="3847" max="3847" width="14.453125" style="2" customWidth="1"/>
    <col min="3848" max="3848" width="38.7265625" style="2" customWidth="1"/>
    <col min="3849" max="3853" width="14" style="2" bestFit="1" customWidth="1"/>
    <col min="3854" max="3854" width="10.453125" style="2" bestFit="1" customWidth="1"/>
    <col min="3855" max="3855" width="8.81640625" style="2"/>
    <col min="3856" max="3856" width="11.26953125" style="2" bestFit="1" customWidth="1"/>
    <col min="3857" max="3857" width="5.453125" style="2" bestFit="1" customWidth="1"/>
    <col min="3858" max="3861" width="5" style="2" bestFit="1" customWidth="1"/>
    <col min="3862" max="3862" width="7.453125" style="2" bestFit="1" customWidth="1"/>
    <col min="3863" max="3863" width="10.453125" style="2" bestFit="1" customWidth="1"/>
    <col min="3864" max="3864" width="8.81640625" style="2"/>
    <col min="3865" max="3866" width="12.453125" style="2" bestFit="1" customWidth="1"/>
    <col min="3867" max="3867" width="14" style="2" bestFit="1" customWidth="1"/>
    <col min="3868" max="4100" width="8.81640625" style="2"/>
    <col min="4101" max="4101" width="3.81640625" style="2" customWidth="1"/>
    <col min="4102" max="4102" width="8.81640625" style="2"/>
    <col min="4103" max="4103" width="14.453125" style="2" customWidth="1"/>
    <col min="4104" max="4104" width="38.7265625" style="2" customWidth="1"/>
    <col min="4105" max="4109" width="14" style="2" bestFit="1" customWidth="1"/>
    <col min="4110" max="4110" width="10.453125" style="2" bestFit="1" customWidth="1"/>
    <col min="4111" max="4111" width="8.81640625" style="2"/>
    <col min="4112" max="4112" width="11.26953125" style="2" bestFit="1" customWidth="1"/>
    <col min="4113" max="4113" width="5.453125" style="2" bestFit="1" customWidth="1"/>
    <col min="4114" max="4117" width="5" style="2" bestFit="1" customWidth="1"/>
    <col min="4118" max="4118" width="7.453125" style="2" bestFit="1" customWidth="1"/>
    <col min="4119" max="4119" width="10.453125" style="2" bestFit="1" customWidth="1"/>
    <col min="4120" max="4120" width="8.81640625" style="2"/>
    <col min="4121" max="4122" width="12.453125" style="2" bestFit="1" customWidth="1"/>
    <col min="4123" max="4123" width="14" style="2" bestFit="1" customWidth="1"/>
    <col min="4124" max="4356" width="8.81640625" style="2"/>
    <col min="4357" max="4357" width="3.81640625" style="2" customWidth="1"/>
    <col min="4358" max="4358" width="8.81640625" style="2"/>
    <col min="4359" max="4359" width="14.453125" style="2" customWidth="1"/>
    <col min="4360" max="4360" width="38.7265625" style="2" customWidth="1"/>
    <col min="4361" max="4365" width="14" style="2" bestFit="1" customWidth="1"/>
    <col min="4366" max="4366" width="10.453125" style="2" bestFit="1" customWidth="1"/>
    <col min="4367" max="4367" width="8.81640625" style="2"/>
    <col min="4368" max="4368" width="11.26953125" style="2" bestFit="1" customWidth="1"/>
    <col min="4369" max="4369" width="5.453125" style="2" bestFit="1" customWidth="1"/>
    <col min="4370" max="4373" width="5" style="2" bestFit="1" customWidth="1"/>
    <col min="4374" max="4374" width="7.453125" style="2" bestFit="1" customWidth="1"/>
    <col min="4375" max="4375" width="10.453125" style="2" bestFit="1" customWidth="1"/>
    <col min="4376" max="4376" width="8.81640625" style="2"/>
    <col min="4377" max="4378" width="12.453125" style="2" bestFit="1" customWidth="1"/>
    <col min="4379" max="4379" width="14" style="2" bestFit="1" customWidth="1"/>
    <col min="4380" max="4612" width="8.81640625" style="2"/>
    <col min="4613" max="4613" width="3.81640625" style="2" customWidth="1"/>
    <col min="4614" max="4614" width="8.81640625" style="2"/>
    <col min="4615" max="4615" width="14.453125" style="2" customWidth="1"/>
    <col min="4616" max="4616" width="38.7265625" style="2" customWidth="1"/>
    <col min="4617" max="4621" width="14" style="2" bestFit="1" customWidth="1"/>
    <col min="4622" max="4622" width="10.453125" style="2" bestFit="1" customWidth="1"/>
    <col min="4623" max="4623" width="8.81640625" style="2"/>
    <col min="4624" max="4624" width="11.26953125" style="2" bestFit="1" customWidth="1"/>
    <col min="4625" max="4625" width="5.453125" style="2" bestFit="1" customWidth="1"/>
    <col min="4626" max="4629" width="5" style="2" bestFit="1" customWidth="1"/>
    <col min="4630" max="4630" width="7.453125" style="2" bestFit="1" customWidth="1"/>
    <col min="4631" max="4631" width="10.453125" style="2" bestFit="1" customWidth="1"/>
    <col min="4632" max="4632" width="8.81640625" style="2"/>
    <col min="4633" max="4634" width="12.453125" style="2" bestFit="1" customWidth="1"/>
    <col min="4635" max="4635" width="14" style="2" bestFit="1" customWidth="1"/>
    <col min="4636" max="4868" width="8.81640625" style="2"/>
    <col min="4869" max="4869" width="3.81640625" style="2" customWidth="1"/>
    <col min="4870" max="4870" width="8.81640625" style="2"/>
    <col min="4871" max="4871" width="14.453125" style="2" customWidth="1"/>
    <col min="4872" max="4872" width="38.7265625" style="2" customWidth="1"/>
    <col min="4873" max="4877" width="14" style="2" bestFit="1" customWidth="1"/>
    <col min="4878" max="4878" width="10.453125" style="2" bestFit="1" customWidth="1"/>
    <col min="4879" max="4879" width="8.81640625" style="2"/>
    <col min="4880" max="4880" width="11.26953125" style="2" bestFit="1" customWidth="1"/>
    <col min="4881" max="4881" width="5.453125" style="2" bestFit="1" customWidth="1"/>
    <col min="4882" max="4885" width="5" style="2" bestFit="1" customWidth="1"/>
    <col min="4886" max="4886" width="7.453125" style="2" bestFit="1" customWidth="1"/>
    <col min="4887" max="4887" width="10.453125" style="2" bestFit="1" customWidth="1"/>
    <col min="4888" max="4888" width="8.81640625" style="2"/>
    <col min="4889" max="4890" width="12.453125" style="2" bestFit="1" customWidth="1"/>
    <col min="4891" max="4891" width="14" style="2" bestFit="1" customWidth="1"/>
    <col min="4892" max="5124" width="8.81640625" style="2"/>
    <col min="5125" max="5125" width="3.81640625" style="2" customWidth="1"/>
    <col min="5126" max="5126" width="8.81640625" style="2"/>
    <col min="5127" max="5127" width="14.453125" style="2" customWidth="1"/>
    <col min="5128" max="5128" width="38.7265625" style="2" customWidth="1"/>
    <col min="5129" max="5133" width="14" style="2" bestFit="1" customWidth="1"/>
    <col min="5134" max="5134" width="10.453125" style="2" bestFit="1" customWidth="1"/>
    <col min="5135" max="5135" width="8.81640625" style="2"/>
    <col min="5136" max="5136" width="11.26953125" style="2" bestFit="1" customWidth="1"/>
    <col min="5137" max="5137" width="5.453125" style="2" bestFit="1" customWidth="1"/>
    <col min="5138" max="5141" width="5" style="2" bestFit="1" customWidth="1"/>
    <col min="5142" max="5142" width="7.453125" style="2" bestFit="1" customWidth="1"/>
    <col min="5143" max="5143" width="10.453125" style="2" bestFit="1" customWidth="1"/>
    <col min="5144" max="5144" width="8.81640625" style="2"/>
    <col min="5145" max="5146" width="12.453125" style="2" bestFit="1" customWidth="1"/>
    <col min="5147" max="5147" width="14" style="2" bestFit="1" customWidth="1"/>
    <col min="5148" max="5380" width="8.81640625" style="2"/>
    <col min="5381" max="5381" width="3.81640625" style="2" customWidth="1"/>
    <col min="5382" max="5382" width="8.81640625" style="2"/>
    <col min="5383" max="5383" width="14.453125" style="2" customWidth="1"/>
    <col min="5384" max="5384" width="38.7265625" style="2" customWidth="1"/>
    <col min="5385" max="5389" width="14" style="2" bestFit="1" customWidth="1"/>
    <col min="5390" max="5390" width="10.453125" style="2" bestFit="1" customWidth="1"/>
    <col min="5391" max="5391" width="8.81640625" style="2"/>
    <col min="5392" max="5392" width="11.26953125" style="2" bestFit="1" customWidth="1"/>
    <col min="5393" max="5393" width="5.453125" style="2" bestFit="1" customWidth="1"/>
    <col min="5394" max="5397" width="5" style="2" bestFit="1" customWidth="1"/>
    <col min="5398" max="5398" width="7.453125" style="2" bestFit="1" customWidth="1"/>
    <col min="5399" max="5399" width="10.453125" style="2" bestFit="1" customWidth="1"/>
    <col min="5400" max="5400" width="8.81640625" style="2"/>
    <col min="5401" max="5402" width="12.453125" style="2" bestFit="1" customWidth="1"/>
    <col min="5403" max="5403" width="14" style="2" bestFit="1" customWidth="1"/>
    <col min="5404" max="5636" width="8.81640625" style="2"/>
    <col min="5637" max="5637" width="3.81640625" style="2" customWidth="1"/>
    <col min="5638" max="5638" width="8.81640625" style="2"/>
    <col min="5639" max="5639" width="14.453125" style="2" customWidth="1"/>
    <col min="5640" max="5640" width="38.7265625" style="2" customWidth="1"/>
    <col min="5641" max="5645" width="14" style="2" bestFit="1" customWidth="1"/>
    <col min="5646" max="5646" width="10.453125" style="2" bestFit="1" customWidth="1"/>
    <col min="5647" max="5647" width="8.81640625" style="2"/>
    <col min="5648" max="5648" width="11.26953125" style="2" bestFit="1" customWidth="1"/>
    <col min="5649" max="5649" width="5.453125" style="2" bestFit="1" customWidth="1"/>
    <col min="5650" max="5653" width="5" style="2" bestFit="1" customWidth="1"/>
    <col min="5654" max="5654" width="7.453125" style="2" bestFit="1" customWidth="1"/>
    <col min="5655" max="5655" width="10.453125" style="2" bestFit="1" customWidth="1"/>
    <col min="5656" max="5656" width="8.81640625" style="2"/>
    <col min="5657" max="5658" width="12.453125" style="2" bestFit="1" customWidth="1"/>
    <col min="5659" max="5659" width="14" style="2" bestFit="1" customWidth="1"/>
    <col min="5660" max="5892" width="8.81640625" style="2"/>
    <col min="5893" max="5893" width="3.81640625" style="2" customWidth="1"/>
    <col min="5894" max="5894" width="8.81640625" style="2"/>
    <col min="5895" max="5895" width="14.453125" style="2" customWidth="1"/>
    <col min="5896" max="5896" width="38.7265625" style="2" customWidth="1"/>
    <col min="5897" max="5901" width="14" style="2" bestFit="1" customWidth="1"/>
    <col min="5902" max="5902" width="10.453125" style="2" bestFit="1" customWidth="1"/>
    <col min="5903" max="5903" width="8.81640625" style="2"/>
    <col min="5904" max="5904" width="11.26953125" style="2" bestFit="1" customWidth="1"/>
    <col min="5905" max="5905" width="5.453125" style="2" bestFit="1" customWidth="1"/>
    <col min="5906" max="5909" width="5" style="2" bestFit="1" customWidth="1"/>
    <col min="5910" max="5910" width="7.453125" style="2" bestFit="1" customWidth="1"/>
    <col min="5911" max="5911" width="10.453125" style="2" bestFit="1" customWidth="1"/>
    <col min="5912" max="5912" width="8.81640625" style="2"/>
    <col min="5913" max="5914" width="12.453125" style="2" bestFit="1" customWidth="1"/>
    <col min="5915" max="5915" width="14" style="2" bestFit="1" customWidth="1"/>
    <col min="5916" max="6148" width="8.81640625" style="2"/>
    <col min="6149" max="6149" width="3.81640625" style="2" customWidth="1"/>
    <col min="6150" max="6150" width="8.81640625" style="2"/>
    <col min="6151" max="6151" width="14.453125" style="2" customWidth="1"/>
    <col min="6152" max="6152" width="38.7265625" style="2" customWidth="1"/>
    <col min="6153" max="6157" width="14" style="2" bestFit="1" customWidth="1"/>
    <col min="6158" max="6158" width="10.453125" style="2" bestFit="1" customWidth="1"/>
    <col min="6159" max="6159" width="8.81640625" style="2"/>
    <col min="6160" max="6160" width="11.26953125" style="2" bestFit="1" customWidth="1"/>
    <col min="6161" max="6161" width="5.453125" style="2" bestFit="1" customWidth="1"/>
    <col min="6162" max="6165" width="5" style="2" bestFit="1" customWidth="1"/>
    <col min="6166" max="6166" width="7.453125" style="2" bestFit="1" customWidth="1"/>
    <col min="6167" max="6167" width="10.453125" style="2" bestFit="1" customWidth="1"/>
    <col min="6168" max="6168" width="8.81640625" style="2"/>
    <col min="6169" max="6170" width="12.453125" style="2" bestFit="1" customWidth="1"/>
    <col min="6171" max="6171" width="14" style="2" bestFit="1" customWidth="1"/>
    <col min="6172" max="6404" width="8.81640625" style="2"/>
    <col min="6405" max="6405" width="3.81640625" style="2" customWidth="1"/>
    <col min="6406" max="6406" width="8.81640625" style="2"/>
    <col min="6407" max="6407" width="14.453125" style="2" customWidth="1"/>
    <col min="6408" max="6408" width="38.7265625" style="2" customWidth="1"/>
    <col min="6409" max="6413" width="14" style="2" bestFit="1" customWidth="1"/>
    <col min="6414" max="6414" width="10.453125" style="2" bestFit="1" customWidth="1"/>
    <col min="6415" max="6415" width="8.81640625" style="2"/>
    <col min="6416" max="6416" width="11.26953125" style="2" bestFit="1" customWidth="1"/>
    <col min="6417" max="6417" width="5.453125" style="2" bestFit="1" customWidth="1"/>
    <col min="6418" max="6421" width="5" style="2" bestFit="1" customWidth="1"/>
    <col min="6422" max="6422" width="7.453125" style="2" bestFit="1" customWidth="1"/>
    <col min="6423" max="6423" width="10.453125" style="2" bestFit="1" customWidth="1"/>
    <col min="6424" max="6424" width="8.81640625" style="2"/>
    <col min="6425" max="6426" width="12.453125" style="2" bestFit="1" customWidth="1"/>
    <col min="6427" max="6427" width="14" style="2" bestFit="1" customWidth="1"/>
    <col min="6428" max="6660" width="8.81640625" style="2"/>
    <col min="6661" max="6661" width="3.81640625" style="2" customWidth="1"/>
    <col min="6662" max="6662" width="8.81640625" style="2"/>
    <col min="6663" max="6663" width="14.453125" style="2" customWidth="1"/>
    <col min="6664" max="6664" width="38.7265625" style="2" customWidth="1"/>
    <col min="6665" max="6669" width="14" style="2" bestFit="1" customWidth="1"/>
    <col min="6670" max="6670" width="10.453125" style="2" bestFit="1" customWidth="1"/>
    <col min="6671" max="6671" width="8.81640625" style="2"/>
    <col min="6672" max="6672" width="11.26953125" style="2" bestFit="1" customWidth="1"/>
    <col min="6673" max="6673" width="5.453125" style="2" bestFit="1" customWidth="1"/>
    <col min="6674" max="6677" width="5" style="2" bestFit="1" customWidth="1"/>
    <col min="6678" max="6678" width="7.453125" style="2" bestFit="1" customWidth="1"/>
    <col min="6679" max="6679" width="10.453125" style="2" bestFit="1" customWidth="1"/>
    <col min="6680" max="6680" width="8.81640625" style="2"/>
    <col min="6681" max="6682" width="12.453125" style="2" bestFit="1" customWidth="1"/>
    <col min="6683" max="6683" width="14" style="2" bestFit="1" customWidth="1"/>
    <col min="6684" max="6916" width="8.81640625" style="2"/>
    <col min="6917" max="6917" width="3.81640625" style="2" customWidth="1"/>
    <col min="6918" max="6918" width="8.81640625" style="2"/>
    <col min="6919" max="6919" width="14.453125" style="2" customWidth="1"/>
    <col min="6920" max="6920" width="38.7265625" style="2" customWidth="1"/>
    <col min="6921" max="6925" width="14" style="2" bestFit="1" customWidth="1"/>
    <col min="6926" max="6926" width="10.453125" style="2" bestFit="1" customWidth="1"/>
    <col min="6927" max="6927" width="8.81640625" style="2"/>
    <col min="6928" max="6928" width="11.26953125" style="2" bestFit="1" customWidth="1"/>
    <col min="6929" max="6929" width="5.453125" style="2" bestFit="1" customWidth="1"/>
    <col min="6930" max="6933" width="5" style="2" bestFit="1" customWidth="1"/>
    <col min="6934" max="6934" width="7.453125" style="2" bestFit="1" customWidth="1"/>
    <col min="6935" max="6935" width="10.453125" style="2" bestFit="1" customWidth="1"/>
    <col min="6936" max="6936" width="8.81640625" style="2"/>
    <col min="6937" max="6938" width="12.453125" style="2" bestFit="1" customWidth="1"/>
    <col min="6939" max="6939" width="14" style="2" bestFit="1" customWidth="1"/>
    <col min="6940" max="7172" width="8.81640625" style="2"/>
    <col min="7173" max="7173" width="3.81640625" style="2" customWidth="1"/>
    <col min="7174" max="7174" width="8.81640625" style="2"/>
    <col min="7175" max="7175" width="14.453125" style="2" customWidth="1"/>
    <col min="7176" max="7176" width="38.7265625" style="2" customWidth="1"/>
    <col min="7177" max="7181" width="14" style="2" bestFit="1" customWidth="1"/>
    <col min="7182" max="7182" width="10.453125" style="2" bestFit="1" customWidth="1"/>
    <col min="7183" max="7183" width="8.81640625" style="2"/>
    <col min="7184" max="7184" width="11.26953125" style="2" bestFit="1" customWidth="1"/>
    <col min="7185" max="7185" width="5.453125" style="2" bestFit="1" customWidth="1"/>
    <col min="7186" max="7189" width="5" style="2" bestFit="1" customWidth="1"/>
    <col min="7190" max="7190" width="7.453125" style="2" bestFit="1" customWidth="1"/>
    <col min="7191" max="7191" width="10.453125" style="2" bestFit="1" customWidth="1"/>
    <col min="7192" max="7192" width="8.81640625" style="2"/>
    <col min="7193" max="7194" width="12.453125" style="2" bestFit="1" customWidth="1"/>
    <col min="7195" max="7195" width="14" style="2" bestFit="1" customWidth="1"/>
    <col min="7196" max="7428" width="8.81640625" style="2"/>
    <col min="7429" max="7429" width="3.81640625" style="2" customWidth="1"/>
    <col min="7430" max="7430" width="8.81640625" style="2"/>
    <col min="7431" max="7431" width="14.453125" style="2" customWidth="1"/>
    <col min="7432" max="7432" width="38.7265625" style="2" customWidth="1"/>
    <col min="7433" max="7437" width="14" style="2" bestFit="1" customWidth="1"/>
    <col min="7438" max="7438" width="10.453125" style="2" bestFit="1" customWidth="1"/>
    <col min="7439" max="7439" width="8.81640625" style="2"/>
    <col min="7440" max="7440" width="11.26953125" style="2" bestFit="1" customWidth="1"/>
    <col min="7441" max="7441" width="5.453125" style="2" bestFit="1" customWidth="1"/>
    <col min="7442" max="7445" width="5" style="2" bestFit="1" customWidth="1"/>
    <col min="7446" max="7446" width="7.453125" style="2" bestFit="1" customWidth="1"/>
    <col min="7447" max="7447" width="10.453125" style="2" bestFit="1" customWidth="1"/>
    <col min="7448" max="7448" width="8.81640625" style="2"/>
    <col min="7449" max="7450" width="12.453125" style="2" bestFit="1" customWidth="1"/>
    <col min="7451" max="7451" width="14" style="2" bestFit="1" customWidth="1"/>
    <col min="7452" max="7684" width="8.81640625" style="2"/>
    <col min="7685" max="7685" width="3.81640625" style="2" customWidth="1"/>
    <col min="7686" max="7686" width="8.81640625" style="2"/>
    <col min="7687" max="7687" width="14.453125" style="2" customWidth="1"/>
    <col min="7688" max="7688" width="38.7265625" style="2" customWidth="1"/>
    <col min="7689" max="7693" width="14" style="2" bestFit="1" customWidth="1"/>
    <col min="7694" max="7694" width="10.453125" style="2" bestFit="1" customWidth="1"/>
    <col min="7695" max="7695" width="8.81640625" style="2"/>
    <col min="7696" max="7696" width="11.26953125" style="2" bestFit="1" customWidth="1"/>
    <col min="7697" max="7697" width="5.453125" style="2" bestFit="1" customWidth="1"/>
    <col min="7698" max="7701" width="5" style="2" bestFit="1" customWidth="1"/>
    <col min="7702" max="7702" width="7.453125" style="2" bestFit="1" customWidth="1"/>
    <col min="7703" max="7703" width="10.453125" style="2" bestFit="1" customWidth="1"/>
    <col min="7704" max="7704" width="8.81640625" style="2"/>
    <col min="7705" max="7706" width="12.453125" style="2" bestFit="1" customWidth="1"/>
    <col min="7707" max="7707" width="14" style="2" bestFit="1" customWidth="1"/>
    <col min="7708" max="7940" width="8.81640625" style="2"/>
    <col min="7941" max="7941" width="3.81640625" style="2" customWidth="1"/>
    <col min="7942" max="7942" width="8.81640625" style="2"/>
    <col min="7943" max="7943" width="14.453125" style="2" customWidth="1"/>
    <col min="7944" max="7944" width="38.7265625" style="2" customWidth="1"/>
    <col min="7945" max="7949" width="14" style="2" bestFit="1" customWidth="1"/>
    <col min="7950" max="7950" width="10.453125" style="2" bestFit="1" customWidth="1"/>
    <col min="7951" max="7951" width="8.81640625" style="2"/>
    <col min="7952" max="7952" width="11.26953125" style="2" bestFit="1" customWidth="1"/>
    <col min="7953" max="7953" width="5.453125" style="2" bestFit="1" customWidth="1"/>
    <col min="7954" max="7957" width="5" style="2" bestFit="1" customWidth="1"/>
    <col min="7958" max="7958" width="7.453125" style="2" bestFit="1" customWidth="1"/>
    <col min="7959" max="7959" width="10.453125" style="2" bestFit="1" customWidth="1"/>
    <col min="7960" max="7960" width="8.81640625" style="2"/>
    <col min="7961" max="7962" width="12.453125" style="2" bestFit="1" customWidth="1"/>
    <col min="7963" max="7963" width="14" style="2" bestFit="1" customWidth="1"/>
    <col min="7964" max="8196" width="8.81640625" style="2"/>
    <col min="8197" max="8197" width="3.81640625" style="2" customWidth="1"/>
    <col min="8198" max="8198" width="8.81640625" style="2"/>
    <col min="8199" max="8199" width="14.453125" style="2" customWidth="1"/>
    <col min="8200" max="8200" width="38.7265625" style="2" customWidth="1"/>
    <col min="8201" max="8205" width="14" style="2" bestFit="1" customWidth="1"/>
    <col min="8206" max="8206" width="10.453125" style="2" bestFit="1" customWidth="1"/>
    <col min="8207" max="8207" width="8.81640625" style="2"/>
    <col min="8208" max="8208" width="11.26953125" style="2" bestFit="1" customWidth="1"/>
    <col min="8209" max="8209" width="5.453125" style="2" bestFit="1" customWidth="1"/>
    <col min="8210" max="8213" width="5" style="2" bestFit="1" customWidth="1"/>
    <col min="8214" max="8214" width="7.453125" style="2" bestFit="1" customWidth="1"/>
    <col min="8215" max="8215" width="10.453125" style="2" bestFit="1" customWidth="1"/>
    <col min="8216" max="8216" width="8.81640625" style="2"/>
    <col min="8217" max="8218" width="12.453125" style="2" bestFit="1" customWidth="1"/>
    <col min="8219" max="8219" width="14" style="2" bestFit="1" customWidth="1"/>
    <col min="8220" max="8452" width="8.81640625" style="2"/>
    <col min="8453" max="8453" width="3.81640625" style="2" customWidth="1"/>
    <col min="8454" max="8454" width="8.81640625" style="2"/>
    <col min="8455" max="8455" width="14.453125" style="2" customWidth="1"/>
    <col min="8456" max="8456" width="38.7265625" style="2" customWidth="1"/>
    <col min="8457" max="8461" width="14" style="2" bestFit="1" customWidth="1"/>
    <col min="8462" max="8462" width="10.453125" style="2" bestFit="1" customWidth="1"/>
    <col min="8463" max="8463" width="8.81640625" style="2"/>
    <col min="8464" max="8464" width="11.26953125" style="2" bestFit="1" customWidth="1"/>
    <col min="8465" max="8465" width="5.453125" style="2" bestFit="1" customWidth="1"/>
    <col min="8466" max="8469" width="5" style="2" bestFit="1" customWidth="1"/>
    <col min="8470" max="8470" width="7.453125" style="2" bestFit="1" customWidth="1"/>
    <col min="8471" max="8471" width="10.453125" style="2" bestFit="1" customWidth="1"/>
    <col min="8472" max="8472" width="8.81640625" style="2"/>
    <col min="8473" max="8474" width="12.453125" style="2" bestFit="1" customWidth="1"/>
    <col min="8475" max="8475" width="14" style="2" bestFit="1" customWidth="1"/>
    <col min="8476" max="8708" width="8.81640625" style="2"/>
    <col min="8709" max="8709" width="3.81640625" style="2" customWidth="1"/>
    <col min="8710" max="8710" width="8.81640625" style="2"/>
    <col min="8711" max="8711" width="14.453125" style="2" customWidth="1"/>
    <col min="8712" max="8712" width="38.7265625" style="2" customWidth="1"/>
    <col min="8713" max="8717" width="14" style="2" bestFit="1" customWidth="1"/>
    <col min="8718" max="8718" width="10.453125" style="2" bestFit="1" customWidth="1"/>
    <col min="8719" max="8719" width="8.81640625" style="2"/>
    <col min="8720" max="8720" width="11.26953125" style="2" bestFit="1" customWidth="1"/>
    <col min="8721" max="8721" width="5.453125" style="2" bestFit="1" customWidth="1"/>
    <col min="8722" max="8725" width="5" style="2" bestFit="1" customWidth="1"/>
    <col min="8726" max="8726" width="7.453125" style="2" bestFit="1" customWidth="1"/>
    <col min="8727" max="8727" width="10.453125" style="2" bestFit="1" customWidth="1"/>
    <col min="8728" max="8728" width="8.81640625" style="2"/>
    <col min="8729" max="8730" width="12.453125" style="2" bestFit="1" customWidth="1"/>
    <col min="8731" max="8731" width="14" style="2" bestFit="1" customWidth="1"/>
    <col min="8732" max="8964" width="8.81640625" style="2"/>
    <col min="8965" max="8965" width="3.81640625" style="2" customWidth="1"/>
    <col min="8966" max="8966" width="8.81640625" style="2"/>
    <col min="8967" max="8967" width="14.453125" style="2" customWidth="1"/>
    <col min="8968" max="8968" width="38.7265625" style="2" customWidth="1"/>
    <col min="8969" max="8973" width="14" style="2" bestFit="1" customWidth="1"/>
    <col min="8974" max="8974" width="10.453125" style="2" bestFit="1" customWidth="1"/>
    <col min="8975" max="8975" width="8.81640625" style="2"/>
    <col min="8976" max="8976" width="11.26953125" style="2" bestFit="1" customWidth="1"/>
    <col min="8977" max="8977" width="5.453125" style="2" bestFit="1" customWidth="1"/>
    <col min="8978" max="8981" width="5" style="2" bestFit="1" customWidth="1"/>
    <col min="8982" max="8982" width="7.453125" style="2" bestFit="1" customWidth="1"/>
    <col min="8983" max="8983" width="10.453125" style="2" bestFit="1" customWidth="1"/>
    <col min="8984" max="8984" width="8.81640625" style="2"/>
    <col min="8985" max="8986" width="12.453125" style="2" bestFit="1" customWidth="1"/>
    <col min="8987" max="8987" width="14" style="2" bestFit="1" customWidth="1"/>
    <col min="8988" max="9220" width="8.81640625" style="2"/>
    <col min="9221" max="9221" width="3.81640625" style="2" customWidth="1"/>
    <col min="9222" max="9222" width="8.81640625" style="2"/>
    <col min="9223" max="9223" width="14.453125" style="2" customWidth="1"/>
    <col min="9224" max="9224" width="38.7265625" style="2" customWidth="1"/>
    <col min="9225" max="9229" width="14" style="2" bestFit="1" customWidth="1"/>
    <col min="9230" max="9230" width="10.453125" style="2" bestFit="1" customWidth="1"/>
    <col min="9231" max="9231" width="8.81640625" style="2"/>
    <col min="9232" max="9232" width="11.26953125" style="2" bestFit="1" customWidth="1"/>
    <col min="9233" max="9233" width="5.453125" style="2" bestFit="1" customWidth="1"/>
    <col min="9234" max="9237" width="5" style="2" bestFit="1" customWidth="1"/>
    <col min="9238" max="9238" width="7.453125" style="2" bestFit="1" customWidth="1"/>
    <col min="9239" max="9239" width="10.453125" style="2" bestFit="1" customWidth="1"/>
    <col min="9240" max="9240" width="8.81640625" style="2"/>
    <col min="9241" max="9242" width="12.453125" style="2" bestFit="1" customWidth="1"/>
    <col min="9243" max="9243" width="14" style="2" bestFit="1" customWidth="1"/>
    <col min="9244" max="9476" width="8.81640625" style="2"/>
    <col min="9477" max="9477" width="3.81640625" style="2" customWidth="1"/>
    <col min="9478" max="9478" width="8.81640625" style="2"/>
    <col min="9479" max="9479" width="14.453125" style="2" customWidth="1"/>
    <col min="9480" max="9480" width="38.7265625" style="2" customWidth="1"/>
    <col min="9481" max="9485" width="14" style="2" bestFit="1" customWidth="1"/>
    <col min="9486" max="9486" width="10.453125" style="2" bestFit="1" customWidth="1"/>
    <col min="9487" max="9487" width="8.81640625" style="2"/>
    <col min="9488" max="9488" width="11.26953125" style="2" bestFit="1" customWidth="1"/>
    <col min="9489" max="9489" width="5.453125" style="2" bestFit="1" customWidth="1"/>
    <col min="9490" max="9493" width="5" style="2" bestFit="1" customWidth="1"/>
    <col min="9494" max="9494" width="7.453125" style="2" bestFit="1" customWidth="1"/>
    <col min="9495" max="9495" width="10.453125" style="2" bestFit="1" customWidth="1"/>
    <col min="9496" max="9496" width="8.81640625" style="2"/>
    <col min="9497" max="9498" width="12.453125" style="2" bestFit="1" customWidth="1"/>
    <col min="9499" max="9499" width="14" style="2" bestFit="1" customWidth="1"/>
    <col min="9500" max="9732" width="8.81640625" style="2"/>
    <col min="9733" max="9733" width="3.81640625" style="2" customWidth="1"/>
    <col min="9734" max="9734" width="8.81640625" style="2"/>
    <col min="9735" max="9735" width="14.453125" style="2" customWidth="1"/>
    <col min="9736" max="9736" width="38.7265625" style="2" customWidth="1"/>
    <col min="9737" max="9741" width="14" style="2" bestFit="1" customWidth="1"/>
    <col min="9742" max="9742" width="10.453125" style="2" bestFit="1" customWidth="1"/>
    <col min="9743" max="9743" width="8.81640625" style="2"/>
    <col min="9744" max="9744" width="11.26953125" style="2" bestFit="1" customWidth="1"/>
    <col min="9745" max="9745" width="5.453125" style="2" bestFit="1" customWidth="1"/>
    <col min="9746" max="9749" width="5" style="2" bestFit="1" customWidth="1"/>
    <col min="9750" max="9750" width="7.453125" style="2" bestFit="1" customWidth="1"/>
    <col min="9751" max="9751" width="10.453125" style="2" bestFit="1" customWidth="1"/>
    <col min="9752" max="9752" width="8.81640625" style="2"/>
    <col min="9753" max="9754" width="12.453125" style="2" bestFit="1" customWidth="1"/>
    <col min="9755" max="9755" width="14" style="2" bestFit="1" customWidth="1"/>
    <col min="9756" max="9988" width="8.81640625" style="2"/>
    <col min="9989" max="9989" width="3.81640625" style="2" customWidth="1"/>
    <col min="9990" max="9990" width="8.81640625" style="2"/>
    <col min="9991" max="9991" width="14.453125" style="2" customWidth="1"/>
    <col min="9992" max="9992" width="38.7265625" style="2" customWidth="1"/>
    <col min="9993" max="9997" width="14" style="2" bestFit="1" customWidth="1"/>
    <col min="9998" max="9998" width="10.453125" style="2" bestFit="1" customWidth="1"/>
    <col min="9999" max="9999" width="8.81640625" style="2"/>
    <col min="10000" max="10000" width="11.26953125" style="2" bestFit="1" customWidth="1"/>
    <col min="10001" max="10001" width="5.453125" style="2" bestFit="1" customWidth="1"/>
    <col min="10002" max="10005" width="5" style="2" bestFit="1" customWidth="1"/>
    <col min="10006" max="10006" width="7.453125" style="2" bestFit="1" customWidth="1"/>
    <col min="10007" max="10007" width="10.453125" style="2" bestFit="1" customWidth="1"/>
    <col min="10008" max="10008" width="8.81640625" style="2"/>
    <col min="10009" max="10010" width="12.453125" style="2" bestFit="1" customWidth="1"/>
    <col min="10011" max="10011" width="14" style="2" bestFit="1" customWidth="1"/>
    <col min="10012" max="10244" width="8.81640625" style="2"/>
    <col min="10245" max="10245" width="3.81640625" style="2" customWidth="1"/>
    <col min="10246" max="10246" width="8.81640625" style="2"/>
    <col min="10247" max="10247" width="14.453125" style="2" customWidth="1"/>
    <col min="10248" max="10248" width="38.7265625" style="2" customWidth="1"/>
    <col min="10249" max="10253" width="14" style="2" bestFit="1" customWidth="1"/>
    <col min="10254" max="10254" width="10.453125" style="2" bestFit="1" customWidth="1"/>
    <col min="10255" max="10255" width="8.81640625" style="2"/>
    <col min="10256" max="10256" width="11.26953125" style="2" bestFit="1" customWidth="1"/>
    <col min="10257" max="10257" width="5.453125" style="2" bestFit="1" customWidth="1"/>
    <col min="10258" max="10261" width="5" style="2" bestFit="1" customWidth="1"/>
    <col min="10262" max="10262" width="7.453125" style="2" bestFit="1" customWidth="1"/>
    <col min="10263" max="10263" width="10.453125" style="2" bestFit="1" customWidth="1"/>
    <col min="10264" max="10264" width="8.81640625" style="2"/>
    <col min="10265" max="10266" width="12.453125" style="2" bestFit="1" customWidth="1"/>
    <col min="10267" max="10267" width="14" style="2" bestFit="1" customWidth="1"/>
    <col min="10268" max="10500" width="8.81640625" style="2"/>
    <col min="10501" max="10501" width="3.81640625" style="2" customWidth="1"/>
    <col min="10502" max="10502" width="8.81640625" style="2"/>
    <col min="10503" max="10503" width="14.453125" style="2" customWidth="1"/>
    <col min="10504" max="10504" width="38.7265625" style="2" customWidth="1"/>
    <col min="10505" max="10509" width="14" style="2" bestFit="1" customWidth="1"/>
    <col min="10510" max="10510" width="10.453125" style="2" bestFit="1" customWidth="1"/>
    <col min="10511" max="10511" width="8.81640625" style="2"/>
    <col min="10512" max="10512" width="11.26953125" style="2" bestFit="1" customWidth="1"/>
    <col min="10513" max="10513" width="5.453125" style="2" bestFit="1" customWidth="1"/>
    <col min="10514" max="10517" width="5" style="2" bestFit="1" customWidth="1"/>
    <col min="10518" max="10518" width="7.453125" style="2" bestFit="1" customWidth="1"/>
    <col min="10519" max="10519" width="10.453125" style="2" bestFit="1" customWidth="1"/>
    <col min="10520" max="10520" width="8.81640625" style="2"/>
    <col min="10521" max="10522" width="12.453125" style="2" bestFit="1" customWidth="1"/>
    <col min="10523" max="10523" width="14" style="2" bestFit="1" customWidth="1"/>
    <col min="10524" max="10756" width="8.81640625" style="2"/>
    <col min="10757" max="10757" width="3.81640625" style="2" customWidth="1"/>
    <col min="10758" max="10758" width="8.81640625" style="2"/>
    <col min="10759" max="10759" width="14.453125" style="2" customWidth="1"/>
    <col min="10760" max="10760" width="38.7265625" style="2" customWidth="1"/>
    <col min="10761" max="10765" width="14" style="2" bestFit="1" customWidth="1"/>
    <col min="10766" max="10766" width="10.453125" style="2" bestFit="1" customWidth="1"/>
    <col min="10767" max="10767" width="8.81640625" style="2"/>
    <col min="10768" max="10768" width="11.26953125" style="2" bestFit="1" customWidth="1"/>
    <col min="10769" max="10769" width="5.453125" style="2" bestFit="1" customWidth="1"/>
    <col min="10770" max="10773" width="5" style="2" bestFit="1" customWidth="1"/>
    <col min="10774" max="10774" width="7.453125" style="2" bestFit="1" customWidth="1"/>
    <col min="10775" max="10775" width="10.453125" style="2" bestFit="1" customWidth="1"/>
    <col min="10776" max="10776" width="8.81640625" style="2"/>
    <col min="10777" max="10778" width="12.453125" style="2" bestFit="1" customWidth="1"/>
    <col min="10779" max="10779" width="14" style="2" bestFit="1" customWidth="1"/>
    <col min="10780" max="11012" width="8.81640625" style="2"/>
    <col min="11013" max="11013" width="3.81640625" style="2" customWidth="1"/>
    <col min="11014" max="11014" width="8.81640625" style="2"/>
    <col min="11015" max="11015" width="14.453125" style="2" customWidth="1"/>
    <col min="11016" max="11016" width="38.7265625" style="2" customWidth="1"/>
    <col min="11017" max="11021" width="14" style="2" bestFit="1" customWidth="1"/>
    <col min="11022" max="11022" width="10.453125" style="2" bestFit="1" customWidth="1"/>
    <col min="11023" max="11023" width="8.81640625" style="2"/>
    <col min="11024" max="11024" width="11.26953125" style="2" bestFit="1" customWidth="1"/>
    <col min="11025" max="11025" width="5.453125" style="2" bestFit="1" customWidth="1"/>
    <col min="11026" max="11029" width="5" style="2" bestFit="1" customWidth="1"/>
    <col min="11030" max="11030" width="7.453125" style="2" bestFit="1" customWidth="1"/>
    <col min="11031" max="11031" width="10.453125" style="2" bestFit="1" customWidth="1"/>
    <col min="11032" max="11032" width="8.81640625" style="2"/>
    <col min="11033" max="11034" width="12.453125" style="2" bestFit="1" customWidth="1"/>
    <col min="11035" max="11035" width="14" style="2" bestFit="1" customWidth="1"/>
    <col min="11036" max="11268" width="8.81640625" style="2"/>
    <col min="11269" max="11269" width="3.81640625" style="2" customWidth="1"/>
    <col min="11270" max="11270" width="8.81640625" style="2"/>
    <col min="11271" max="11271" width="14.453125" style="2" customWidth="1"/>
    <col min="11272" max="11272" width="38.7265625" style="2" customWidth="1"/>
    <col min="11273" max="11277" width="14" style="2" bestFit="1" customWidth="1"/>
    <col min="11278" max="11278" width="10.453125" style="2" bestFit="1" customWidth="1"/>
    <col min="11279" max="11279" width="8.81640625" style="2"/>
    <col min="11280" max="11280" width="11.26953125" style="2" bestFit="1" customWidth="1"/>
    <col min="11281" max="11281" width="5.453125" style="2" bestFit="1" customWidth="1"/>
    <col min="11282" max="11285" width="5" style="2" bestFit="1" customWidth="1"/>
    <col min="11286" max="11286" width="7.453125" style="2" bestFit="1" customWidth="1"/>
    <col min="11287" max="11287" width="10.453125" style="2" bestFit="1" customWidth="1"/>
    <col min="11288" max="11288" width="8.81640625" style="2"/>
    <col min="11289" max="11290" width="12.453125" style="2" bestFit="1" customWidth="1"/>
    <col min="11291" max="11291" width="14" style="2" bestFit="1" customWidth="1"/>
    <col min="11292" max="11524" width="8.81640625" style="2"/>
    <col min="11525" max="11525" width="3.81640625" style="2" customWidth="1"/>
    <col min="11526" max="11526" width="8.81640625" style="2"/>
    <col min="11527" max="11527" width="14.453125" style="2" customWidth="1"/>
    <col min="11528" max="11528" width="38.7265625" style="2" customWidth="1"/>
    <col min="11529" max="11533" width="14" style="2" bestFit="1" customWidth="1"/>
    <col min="11534" max="11534" width="10.453125" style="2" bestFit="1" customWidth="1"/>
    <col min="11535" max="11535" width="8.81640625" style="2"/>
    <col min="11536" max="11536" width="11.26953125" style="2" bestFit="1" customWidth="1"/>
    <col min="11537" max="11537" width="5.453125" style="2" bestFit="1" customWidth="1"/>
    <col min="11538" max="11541" width="5" style="2" bestFit="1" customWidth="1"/>
    <col min="11542" max="11542" width="7.453125" style="2" bestFit="1" customWidth="1"/>
    <col min="11543" max="11543" width="10.453125" style="2" bestFit="1" customWidth="1"/>
    <col min="11544" max="11544" width="8.81640625" style="2"/>
    <col min="11545" max="11546" width="12.453125" style="2" bestFit="1" customWidth="1"/>
    <col min="11547" max="11547" width="14" style="2" bestFit="1" customWidth="1"/>
    <col min="11548" max="11780" width="8.81640625" style="2"/>
    <col min="11781" max="11781" width="3.81640625" style="2" customWidth="1"/>
    <col min="11782" max="11782" width="8.81640625" style="2"/>
    <col min="11783" max="11783" width="14.453125" style="2" customWidth="1"/>
    <col min="11784" max="11784" width="38.7265625" style="2" customWidth="1"/>
    <col min="11785" max="11789" width="14" style="2" bestFit="1" customWidth="1"/>
    <col min="11790" max="11790" width="10.453125" style="2" bestFit="1" customWidth="1"/>
    <col min="11791" max="11791" width="8.81640625" style="2"/>
    <col min="11792" max="11792" width="11.26953125" style="2" bestFit="1" customWidth="1"/>
    <col min="11793" max="11793" width="5.453125" style="2" bestFit="1" customWidth="1"/>
    <col min="11794" max="11797" width="5" style="2" bestFit="1" customWidth="1"/>
    <col min="11798" max="11798" width="7.453125" style="2" bestFit="1" customWidth="1"/>
    <col min="11799" max="11799" width="10.453125" style="2" bestFit="1" customWidth="1"/>
    <col min="11800" max="11800" width="8.81640625" style="2"/>
    <col min="11801" max="11802" width="12.453125" style="2" bestFit="1" customWidth="1"/>
    <col min="11803" max="11803" width="14" style="2" bestFit="1" customWidth="1"/>
    <col min="11804" max="12036" width="8.81640625" style="2"/>
    <col min="12037" max="12037" width="3.81640625" style="2" customWidth="1"/>
    <col min="12038" max="12038" width="8.81640625" style="2"/>
    <col min="12039" max="12039" width="14.453125" style="2" customWidth="1"/>
    <col min="12040" max="12040" width="38.7265625" style="2" customWidth="1"/>
    <col min="12041" max="12045" width="14" style="2" bestFit="1" customWidth="1"/>
    <col min="12046" max="12046" width="10.453125" style="2" bestFit="1" customWidth="1"/>
    <col min="12047" max="12047" width="8.81640625" style="2"/>
    <col min="12048" max="12048" width="11.26953125" style="2" bestFit="1" customWidth="1"/>
    <col min="12049" max="12049" width="5.453125" style="2" bestFit="1" customWidth="1"/>
    <col min="12050" max="12053" width="5" style="2" bestFit="1" customWidth="1"/>
    <col min="12054" max="12054" width="7.453125" style="2" bestFit="1" customWidth="1"/>
    <col min="12055" max="12055" width="10.453125" style="2" bestFit="1" customWidth="1"/>
    <col min="12056" max="12056" width="8.81640625" style="2"/>
    <col min="12057" max="12058" width="12.453125" style="2" bestFit="1" customWidth="1"/>
    <col min="12059" max="12059" width="14" style="2" bestFit="1" customWidth="1"/>
    <col min="12060" max="12292" width="8.81640625" style="2"/>
    <col min="12293" max="12293" width="3.81640625" style="2" customWidth="1"/>
    <col min="12294" max="12294" width="8.81640625" style="2"/>
    <col min="12295" max="12295" width="14.453125" style="2" customWidth="1"/>
    <col min="12296" max="12296" width="38.7265625" style="2" customWidth="1"/>
    <col min="12297" max="12301" width="14" style="2" bestFit="1" customWidth="1"/>
    <col min="12302" max="12302" width="10.453125" style="2" bestFit="1" customWidth="1"/>
    <col min="12303" max="12303" width="8.81640625" style="2"/>
    <col min="12304" max="12304" width="11.26953125" style="2" bestFit="1" customWidth="1"/>
    <col min="12305" max="12305" width="5.453125" style="2" bestFit="1" customWidth="1"/>
    <col min="12306" max="12309" width="5" style="2" bestFit="1" customWidth="1"/>
    <col min="12310" max="12310" width="7.453125" style="2" bestFit="1" customWidth="1"/>
    <col min="12311" max="12311" width="10.453125" style="2" bestFit="1" customWidth="1"/>
    <col min="12312" max="12312" width="8.81640625" style="2"/>
    <col min="12313" max="12314" width="12.453125" style="2" bestFit="1" customWidth="1"/>
    <col min="12315" max="12315" width="14" style="2" bestFit="1" customWidth="1"/>
    <col min="12316" max="12548" width="8.81640625" style="2"/>
    <col min="12549" max="12549" width="3.81640625" style="2" customWidth="1"/>
    <col min="12550" max="12550" width="8.81640625" style="2"/>
    <col min="12551" max="12551" width="14.453125" style="2" customWidth="1"/>
    <col min="12552" max="12552" width="38.7265625" style="2" customWidth="1"/>
    <col min="12553" max="12557" width="14" style="2" bestFit="1" customWidth="1"/>
    <col min="12558" max="12558" width="10.453125" style="2" bestFit="1" customWidth="1"/>
    <col min="12559" max="12559" width="8.81640625" style="2"/>
    <col min="12560" max="12560" width="11.26953125" style="2" bestFit="1" customWidth="1"/>
    <col min="12561" max="12561" width="5.453125" style="2" bestFit="1" customWidth="1"/>
    <col min="12562" max="12565" width="5" style="2" bestFit="1" customWidth="1"/>
    <col min="12566" max="12566" width="7.453125" style="2" bestFit="1" customWidth="1"/>
    <col min="12567" max="12567" width="10.453125" style="2" bestFit="1" customWidth="1"/>
    <col min="12568" max="12568" width="8.81640625" style="2"/>
    <col min="12569" max="12570" width="12.453125" style="2" bestFit="1" customWidth="1"/>
    <col min="12571" max="12571" width="14" style="2" bestFit="1" customWidth="1"/>
    <col min="12572" max="12804" width="8.81640625" style="2"/>
    <col min="12805" max="12805" width="3.81640625" style="2" customWidth="1"/>
    <col min="12806" max="12806" width="8.81640625" style="2"/>
    <col min="12807" max="12807" width="14.453125" style="2" customWidth="1"/>
    <col min="12808" max="12808" width="38.7265625" style="2" customWidth="1"/>
    <col min="12809" max="12813" width="14" style="2" bestFit="1" customWidth="1"/>
    <col min="12814" max="12814" width="10.453125" style="2" bestFit="1" customWidth="1"/>
    <col min="12815" max="12815" width="8.81640625" style="2"/>
    <col min="12816" max="12816" width="11.26953125" style="2" bestFit="1" customWidth="1"/>
    <col min="12817" max="12817" width="5.453125" style="2" bestFit="1" customWidth="1"/>
    <col min="12818" max="12821" width="5" style="2" bestFit="1" customWidth="1"/>
    <col min="12822" max="12822" width="7.453125" style="2" bestFit="1" customWidth="1"/>
    <col min="12823" max="12823" width="10.453125" style="2" bestFit="1" customWidth="1"/>
    <col min="12824" max="12824" width="8.81640625" style="2"/>
    <col min="12825" max="12826" width="12.453125" style="2" bestFit="1" customWidth="1"/>
    <col min="12827" max="12827" width="14" style="2" bestFit="1" customWidth="1"/>
    <col min="12828" max="13060" width="8.81640625" style="2"/>
    <col min="13061" max="13061" width="3.81640625" style="2" customWidth="1"/>
    <col min="13062" max="13062" width="8.81640625" style="2"/>
    <col min="13063" max="13063" width="14.453125" style="2" customWidth="1"/>
    <col min="13064" max="13064" width="38.7265625" style="2" customWidth="1"/>
    <col min="13065" max="13069" width="14" style="2" bestFit="1" customWidth="1"/>
    <col min="13070" max="13070" width="10.453125" style="2" bestFit="1" customWidth="1"/>
    <col min="13071" max="13071" width="8.81640625" style="2"/>
    <col min="13072" max="13072" width="11.26953125" style="2" bestFit="1" customWidth="1"/>
    <col min="13073" max="13073" width="5.453125" style="2" bestFit="1" customWidth="1"/>
    <col min="13074" max="13077" width="5" style="2" bestFit="1" customWidth="1"/>
    <col min="13078" max="13078" width="7.453125" style="2" bestFit="1" customWidth="1"/>
    <col min="13079" max="13079" width="10.453125" style="2" bestFit="1" customWidth="1"/>
    <col min="13080" max="13080" width="8.81640625" style="2"/>
    <col min="13081" max="13082" width="12.453125" style="2" bestFit="1" customWidth="1"/>
    <col min="13083" max="13083" width="14" style="2" bestFit="1" customWidth="1"/>
    <col min="13084" max="13316" width="8.81640625" style="2"/>
    <col min="13317" max="13317" width="3.81640625" style="2" customWidth="1"/>
    <col min="13318" max="13318" width="8.81640625" style="2"/>
    <col min="13319" max="13319" width="14.453125" style="2" customWidth="1"/>
    <col min="13320" max="13320" width="38.7265625" style="2" customWidth="1"/>
    <col min="13321" max="13325" width="14" style="2" bestFit="1" customWidth="1"/>
    <col min="13326" max="13326" width="10.453125" style="2" bestFit="1" customWidth="1"/>
    <col min="13327" max="13327" width="8.81640625" style="2"/>
    <col min="13328" max="13328" width="11.26953125" style="2" bestFit="1" customWidth="1"/>
    <col min="13329" max="13329" width="5.453125" style="2" bestFit="1" customWidth="1"/>
    <col min="13330" max="13333" width="5" style="2" bestFit="1" customWidth="1"/>
    <col min="13334" max="13334" width="7.453125" style="2" bestFit="1" customWidth="1"/>
    <col min="13335" max="13335" width="10.453125" style="2" bestFit="1" customWidth="1"/>
    <col min="13336" max="13336" width="8.81640625" style="2"/>
    <col min="13337" max="13338" width="12.453125" style="2" bestFit="1" customWidth="1"/>
    <col min="13339" max="13339" width="14" style="2" bestFit="1" customWidth="1"/>
    <col min="13340" max="13572" width="8.81640625" style="2"/>
    <col min="13573" max="13573" width="3.81640625" style="2" customWidth="1"/>
    <col min="13574" max="13574" width="8.81640625" style="2"/>
    <col min="13575" max="13575" width="14.453125" style="2" customWidth="1"/>
    <col min="13576" max="13576" width="38.7265625" style="2" customWidth="1"/>
    <col min="13577" max="13581" width="14" style="2" bestFit="1" customWidth="1"/>
    <col min="13582" max="13582" width="10.453125" style="2" bestFit="1" customWidth="1"/>
    <col min="13583" max="13583" width="8.81640625" style="2"/>
    <col min="13584" max="13584" width="11.26953125" style="2" bestFit="1" customWidth="1"/>
    <col min="13585" max="13585" width="5.453125" style="2" bestFit="1" customWidth="1"/>
    <col min="13586" max="13589" width="5" style="2" bestFit="1" customWidth="1"/>
    <col min="13590" max="13590" width="7.453125" style="2" bestFit="1" customWidth="1"/>
    <col min="13591" max="13591" width="10.453125" style="2" bestFit="1" customWidth="1"/>
    <col min="13592" max="13592" width="8.81640625" style="2"/>
    <col min="13593" max="13594" width="12.453125" style="2" bestFit="1" customWidth="1"/>
    <col min="13595" max="13595" width="14" style="2" bestFit="1" customWidth="1"/>
    <col min="13596" max="13828" width="8.81640625" style="2"/>
    <col min="13829" max="13829" width="3.81640625" style="2" customWidth="1"/>
    <col min="13830" max="13830" width="8.81640625" style="2"/>
    <col min="13831" max="13831" width="14.453125" style="2" customWidth="1"/>
    <col min="13832" max="13832" width="38.7265625" style="2" customWidth="1"/>
    <col min="13833" max="13837" width="14" style="2" bestFit="1" customWidth="1"/>
    <col min="13838" max="13838" width="10.453125" style="2" bestFit="1" customWidth="1"/>
    <col min="13839" max="13839" width="8.81640625" style="2"/>
    <col min="13840" max="13840" width="11.26953125" style="2" bestFit="1" customWidth="1"/>
    <col min="13841" max="13841" width="5.453125" style="2" bestFit="1" customWidth="1"/>
    <col min="13842" max="13845" width="5" style="2" bestFit="1" customWidth="1"/>
    <col min="13846" max="13846" width="7.453125" style="2" bestFit="1" customWidth="1"/>
    <col min="13847" max="13847" width="10.453125" style="2" bestFit="1" customWidth="1"/>
    <col min="13848" max="13848" width="8.81640625" style="2"/>
    <col min="13849" max="13850" width="12.453125" style="2" bestFit="1" customWidth="1"/>
    <col min="13851" max="13851" width="14" style="2" bestFit="1" customWidth="1"/>
    <col min="13852" max="14084" width="8.81640625" style="2"/>
    <col min="14085" max="14085" width="3.81640625" style="2" customWidth="1"/>
    <col min="14086" max="14086" width="8.81640625" style="2"/>
    <col min="14087" max="14087" width="14.453125" style="2" customWidth="1"/>
    <col min="14088" max="14088" width="38.7265625" style="2" customWidth="1"/>
    <col min="14089" max="14093" width="14" style="2" bestFit="1" customWidth="1"/>
    <col min="14094" max="14094" width="10.453125" style="2" bestFit="1" customWidth="1"/>
    <col min="14095" max="14095" width="8.81640625" style="2"/>
    <col min="14096" max="14096" width="11.26953125" style="2" bestFit="1" customWidth="1"/>
    <col min="14097" max="14097" width="5.453125" style="2" bestFit="1" customWidth="1"/>
    <col min="14098" max="14101" width="5" style="2" bestFit="1" customWidth="1"/>
    <col min="14102" max="14102" width="7.453125" style="2" bestFit="1" customWidth="1"/>
    <col min="14103" max="14103" width="10.453125" style="2" bestFit="1" customWidth="1"/>
    <col min="14104" max="14104" width="8.81640625" style="2"/>
    <col min="14105" max="14106" width="12.453125" style="2" bestFit="1" customWidth="1"/>
    <col min="14107" max="14107" width="14" style="2" bestFit="1" customWidth="1"/>
    <col min="14108" max="14340" width="8.81640625" style="2"/>
    <col min="14341" max="14341" width="3.81640625" style="2" customWidth="1"/>
    <col min="14342" max="14342" width="8.81640625" style="2"/>
    <col min="14343" max="14343" width="14.453125" style="2" customWidth="1"/>
    <col min="14344" max="14344" width="38.7265625" style="2" customWidth="1"/>
    <col min="14345" max="14349" width="14" style="2" bestFit="1" customWidth="1"/>
    <col min="14350" max="14350" width="10.453125" style="2" bestFit="1" customWidth="1"/>
    <col min="14351" max="14351" width="8.81640625" style="2"/>
    <col min="14352" max="14352" width="11.26953125" style="2" bestFit="1" customWidth="1"/>
    <col min="14353" max="14353" width="5.453125" style="2" bestFit="1" customWidth="1"/>
    <col min="14354" max="14357" width="5" style="2" bestFit="1" customWidth="1"/>
    <col min="14358" max="14358" width="7.453125" style="2" bestFit="1" customWidth="1"/>
    <col min="14359" max="14359" width="10.453125" style="2" bestFit="1" customWidth="1"/>
    <col min="14360" max="14360" width="8.81640625" style="2"/>
    <col min="14361" max="14362" width="12.453125" style="2" bestFit="1" customWidth="1"/>
    <col min="14363" max="14363" width="14" style="2" bestFit="1" customWidth="1"/>
    <col min="14364" max="14596" width="8.81640625" style="2"/>
    <col min="14597" max="14597" width="3.81640625" style="2" customWidth="1"/>
    <col min="14598" max="14598" width="8.81640625" style="2"/>
    <col min="14599" max="14599" width="14.453125" style="2" customWidth="1"/>
    <col min="14600" max="14600" width="38.7265625" style="2" customWidth="1"/>
    <col min="14601" max="14605" width="14" style="2" bestFit="1" customWidth="1"/>
    <col min="14606" max="14606" width="10.453125" style="2" bestFit="1" customWidth="1"/>
    <col min="14607" max="14607" width="8.81640625" style="2"/>
    <col min="14608" max="14608" width="11.26953125" style="2" bestFit="1" customWidth="1"/>
    <col min="14609" max="14609" width="5.453125" style="2" bestFit="1" customWidth="1"/>
    <col min="14610" max="14613" width="5" style="2" bestFit="1" customWidth="1"/>
    <col min="14614" max="14614" width="7.453125" style="2" bestFit="1" customWidth="1"/>
    <col min="14615" max="14615" width="10.453125" style="2" bestFit="1" customWidth="1"/>
    <col min="14616" max="14616" width="8.81640625" style="2"/>
    <col min="14617" max="14618" width="12.453125" style="2" bestFit="1" customWidth="1"/>
    <col min="14619" max="14619" width="14" style="2" bestFit="1" customWidth="1"/>
    <col min="14620" max="14852" width="8.81640625" style="2"/>
    <col min="14853" max="14853" width="3.81640625" style="2" customWidth="1"/>
    <col min="14854" max="14854" width="8.81640625" style="2"/>
    <col min="14855" max="14855" width="14.453125" style="2" customWidth="1"/>
    <col min="14856" max="14856" width="38.7265625" style="2" customWidth="1"/>
    <col min="14857" max="14861" width="14" style="2" bestFit="1" customWidth="1"/>
    <col min="14862" max="14862" width="10.453125" style="2" bestFit="1" customWidth="1"/>
    <col min="14863" max="14863" width="8.81640625" style="2"/>
    <col min="14864" max="14864" width="11.26953125" style="2" bestFit="1" customWidth="1"/>
    <col min="14865" max="14865" width="5.453125" style="2" bestFit="1" customWidth="1"/>
    <col min="14866" max="14869" width="5" style="2" bestFit="1" customWidth="1"/>
    <col min="14870" max="14870" width="7.453125" style="2" bestFit="1" customWidth="1"/>
    <col min="14871" max="14871" width="10.453125" style="2" bestFit="1" customWidth="1"/>
    <col min="14872" max="14872" width="8.81640625" style="2"/>
    <col min="14873" max="14874" width="12.453125" style="2" bestFit="1" customWidth="1"/>
    <col min="14875" max="14875" width="14" style="2" bestFit="1" customWidth="1"/>
    <col min="14876" max="15108" width="8.81640625" style="2"/>
    <col min="15109" max="15109" width="3.81640625" style="2" customWidth="1"/>
    <col min="15110" max="15110" width="8.81640625" style="2"/>
    <col min="15111" max="15111" width="14.453125" style="2" customWidth="1"/>
    <col min="15112" max="15112" width="38.7265625" style="2" customWidth="1"/>
    <col min="15113" max="15117" width="14" style="2" bestFit="1" customWidth="1"/>
    <col min="15118" max="15118" width="10.453125" style="2" bestFit="1" customWidth="1"/>
    <col min="15119" max="15119" width="8.81640625" style="2"/>
    <col min="15120" max="15120" width="11.26953125" style="2" bestFit="1" customWidth="1"/>
    <col min="15121" max="15121" width="5.453125" style="2" bestFit="1" customWidth="1"/>
    <col min="15122" max="15125" width="5" style="2" bestFit="1" customWidth="1"/>
    <col min="15126" max="15126" width="7.453125" style="2" bestFit="1" customWidth="1"/>
    <col min="15127" max="15127" width="10.453125" style="2" bestFit="1" customWidth="1"/>
    <col min="15128" max="15128" width="8.81640625" style="2"/>
    <col min="15129" max="15130" width="12.453125" style="2" bestFit="1" customWidth="1"/>
    <col min="15131" max="15131" width="14" style="2" bestFit="1" customWidth="1"/>
    <col min="15132" max="15364" width="8.81640625" style="2"/>
    <col min="15365" max="15365" width="3.81640625" style="2" customWidth="1"/>
    <col min="15366" max="15366" width="8.81640625" style="2"/>
    <col min="15367" max="15367" width="14.453125" style="2" customWidth="1"/>
    <col min="15368" max="15368" width="38.7265625" style="2" customWidth="1"/>
    <col min="15369" max="15373" width="14" style="2" bestFit="1" customWidth="1"/>
    <col min="15374" max="15374" width="10.453125" style="2" bestFit="1" customWidth="1"/>
    <col min="15375" max="15375" width="8.81640625" style="2"/>
    <col min="15376" max="15376" width="11.26953125" style="2" bestFit="1" customWidth="1"/>
    <col min="15377" max="15377" width="5.453125" style="2" bestFit="1" customWidth="1"/>
    <col min="15378" max="15381" width="5" style="2" bestFit="1" customWidth="1"/>
    <col min="15382" max="15382" width="7.453125" style="2" bestFit="1" customWidth="1"/>
    <col min="15383" max="15383" width="10.453125" style="2" bestFit="1" customWidth="1"/>
    <col min="15384" max="15384" width="8.81640625" style="2"/>
    <col min="15385" max="15386" width="12.453125" style="2" bestFit="1" customWidth="1"/>
    <col min="15387" max="15387" width="14" style="2" bestFit="1" customWidth="1"/>
    <col min="15388" max="15620" width="8.81640625" style="2"/>
    <col min="15621" max="15621" width="3.81640625" style="2" customWidth="1"/>
    <col min="15622" max="15622" width="8.81640625" style="2"/>
    <col min="15623" max="15623" width="14.453125" style="2" customWidth="1"/>
    <col min="15624" max="15624" width="38.7265625" style="2" customWidth="1"/>
    <col min="15625" max="15629" width="14" style="2" bestFit="1" customWidth="1"/>
    <col min="15630" max="15630" width="10.453125" style="2" bestFit="1" customWidth="1"/>
    <col min="15631" max="15631" width="8.81640625" style="2"/>
    <col min="15632" max="15632" width="11.26953125" style="2" bestFit="1" customWidth="1"/>
    <col min="15633" max="15633" width="5.453125" style="2" bestFit="1" customWidth="1"/>
    <col min="15634" max="15637" width="5" style="2" bestFit="1" customWidth="1"/>
    <col min="15638" max="15638" width="7.453125" style="2" bestFit="1" customWidth="1"/>
    <col min="15639" max="15639" width="10.453125" style="2" bestFit="1" customWidth="1"/>
    <col min="15640" max="15640" width="8.81640625" style="2"/>
    <col min="15641" max="15642" width="12.453125" style="2" bestFit="1" customWidth="1"/>
    <col min="15643" max="15643" width="14" style="2" bestFit="1" customWidth="1"/>
    <col min="15644" max="15876" width="8.81640625" style="2"/>
    <col min="15877" max="15877" width="3.81640625" style="2" customWidth="1"/>
    <col min="15878" max="15878" width="8.81640625" style="2"/>
    <col min="15879" max="15879" width="14.453125" style="2" customWidth="1"/>
    <col min="15880" max="15880" width="38.7265625" style="2" customWidth="1"/>
    <col min="15881" max="15885" width="14" style="2" bestFit="1" customWidth="1"/>
    <col min="15886" max="15886" width="10.453125" style="2" bestFit="1" customWidth="1"/>
    <col min="15887" max="15887" width="8.81640625" style="2"/>
    <col min="15888" max="15888" width="11.26953125" style="2" bestFit="1" customWidth="1"/>
    <col min="15889" max="15889" width="5.453125" style="2" bestFit="1" customWidth="1"/>
    <col min="15890" max="15893" width="5" style="2" bestFit="1" customWidth="1"/>
    <col min="15894" max="15894" width="7.453125" style="2" bestFit="1" customWidth="1"/>
    <col min="15895" max="15895" width="10.453125" style="2" bestFit="1" customWidth="1"/>
    <col min="15896" max="15896" width="8.81640625" style="2"/>
    <col min="15897" max="15898" width="12.453125" style="2" bestFit="1" customWidth="1"/>
    <col min="15899" max="15899" width="14" style="2" bestFit="1" customWidth="1"/>
    <col min="15900" max="16132" width="8.81640625" style="2"/>
    <col min="16133" max="16133" width="3.81640625" style="2" customWidth="1"/>
    <col min="16134" max="16134" width="8.81640625" style="2"/>
    <col min="16135" max="16135" width="14.453125" style="2" customWidth="1"/>
    <col min="16136" max="16136" width="38.7265625" style="2" customWidth="1"/>
    <col min="16137" max="16141" width="14" style="2" bestFit="1" customWidth="1"/>
    <col min="16142" max="16142" width="10.453125" style="2" bestFit="1" customWidth="1"/>
    <col min="16143" max="16143" width="8.81640625" style="2"/>
    <col min="16144" max="16144" width="11.26953125" style="2" bestFit="1" customWidth="1"/>
    <col min="16145" max="16145" width="5.453125" style="2" bestFit="1" customWidth="1"/>
    <col min="16146" max="16149" width="5" style="2" bestFit="1" customWidth="1"/>
    <col min="16150" max="16150" width="7.453125" style="2" bestFit="1" customWidth="1"/>
    <col min="16151" max="16151" width="10.453125" style="2" bestFit="1" customWidth="1"/>
    <col min="16152" max="16152" width="8.81640625" style="2"/>
    <col min="16153" max="16154" width="12.453125" style="2" bestFit="1" customWidth="1"/>
    <col min="16155" max="16155" width="14" style="2" bestFit="1" customWidth="1"/>
    <col min="16156" max="16384" width="8.81640625" style="2"/>
  </cols>
  <sheetData>
    <row r="1" spans="1:34">
      <c r="E1" s="34" t="s">
        <v>272</v>
      </c>
    </row>
    <row r="2" spans="1:34">
      <c r="E2" s="34" t="s">
        <v>273</v>
      </c>
      <c r="G2" s="335">
        <v>44927</v>
      </c>
      <c r="H2" s="34"/>
      <c r="I2" s="34"/>
      <c r="J2" s="335">
        <v>46022</v>
      </c>
    </row>
    <row r="3" spans="1:34" ht="15" thickBot="1">
      <c r="A3" s="1"/>
      <c r="E3" s="34" t="s">
        <v>304</v>
      </c>
      <c r="J3" s="34" t="s">
        <v>305</v>
      </c>
    </row>
    <row r="4" spans="1:34" ht="15" thickBot="1">
      <c r="E4" s="410" t="s">
        <v>306</v>
      </c>
      <c r="F4" s="411"/>
      <c r="G4" s="411"/>
      <c r="H4" s="411"/>
      <c r="I4" s="411"/>
      <c r="J4" s="412"/>
      <c r="L4" s="413" t="s">
        <v>307</v>
      </c>
      <c r="M4" s="414"/>
      <c r="N4" s="414"/>
      <c r="O4" s="414"/>
      <c r="P4" s="414"/>
      <c r="Q4" s="415"/>
      <c r="U4" s="410" t="s">
        <v>308</v>
      </c>
      <c r="V4" s="411"/>
      <c r="W4" s="411"/>
      <c r="X4" s="336"/>
      <c r="Y4" s="336"/>
      <c r="Z4" s="337"/>
      <c r="AA4" s="413" t="s">
        <v>309</v>
      </c>
      <c r="AB4" s="414"/>
      <c r="AC4" s="414"/>
      <c r="AD4" s="414"/>
      <c r="AE4" s="414"/>
      <c r="AF4" s="415"/>
      <c r="AG4" s="81"/>
      <c r="AH4" s="81"/>
    </row>
    <row r="5" spans="1:34" ht="15" thickBot="1">
      <c r="E5" s="4" t="s">
        <v>41</v>
      </c>
      <c r="F5" s="5" t="s">
        <v>40</v>
      </c>
      <c r="G5" s="5" t="s">
        <v>39</v>
      </c>
      <c r="H5" s="5" t="s">
        <v>38</v>
      </c>
      <c r="I5" s="5" t="s">
        <v>37</v>
      </c>
      <c r="J5" s="6" t="s">
        <v>310</v>
      </c>
      <c r="K5" s="338"/>
      <c r="L5" s="4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6" t="s">
        <v>311</v>
      </c>
      <c r="S5" s="339" t="s">
        <v>163</v>
      </c>
      <c r="T5" s="340" t="s">
        <v>118</v>
      </c>
      <c r="U5" s="242" t="s">
        <v>36</v>
      </c>
      <c r="V5" s="242" t="s">
        <v>35</v>
      </c>
      <c r="W5" s="251" t="s">
        <v>34</v>
      </c>
      <c r="X5" s="341" t="s">
        <v>33</v>
      </c>
      <c r="Y5" s="342" t="s">
        <v>32</v>
      </c>
      <c r="Z5" s="17"/>
      <c r="AA5" s="343" t="s">
        <v>36</v>
      </c>
      <c r="AB5" s="242" t="s">
        <v>35</v>
      </c>
      <c r="AC5" s="242" t="s">
        <v>34</v>
      </c>
      <c r="AD5" s="242" t="s">
        <v>33</v>
      </c>
      <c r="AE5" s="242" t="s">
        <v>32</v>
      </c>
      <c r="AF5" s="251" t="s">
        <v>31</v>
      </c>
      <c r="AG5" s="81"/>
      <c r="AH5" s="81"/>
    </row>
    <row r="6" spans="1:34">
      <c r="A6" s="9" t="s">
        <v>30</v>
      </c>
      <c r="B6" s="10" t="s">
        <v>42</v>
      </c>
      <c r="C6" s="10"/>
      <c r="D6" s="10"/>
      <c r="E6" s="252"/>
      <c r="F6" s="252"/>
      <c r="G6" s="12"/>
      <c r="H6" s="12"/>
      <c r="I6" s="12"/>
      <c r="J6" s="253"/>
      <c r="K6" s="240"/>
      <c r="L6" s="344"/>
      <c r="M6" s="252"/>
      <c r="N6" s="12"/>
      <c r="O6" s="12"/>
      <c r="P6" s="12"/>
      <c r="Q6" s="253"/>
      <c r="S6" s="345" t="s">
        <v>275</v>
      </c>
      <c r="T6" s="346" t="s">
        <v>276</v>
      </c>
      <c r="W6" s="16"/>
      <c r="Z6" s="17"/>
      <c r="AA6" s="17"/>
      <c r="AF6" s="16"/>
    </row>
    <row r="7" spans="1:34">
      <c r="A7" s="17"/>
      <c r="B7" s="347" t="s">
        <v>326</v>
      </c>
      <c r="C7" s="184" t="s">
        <v>190</v>
      </c>
      <c r="D7" s="26" t="s">
        <v>165</v>
      </c>
      <c r="E7" s="22">
        <f>$T7*U7</f>
        <v>21807.184618333333</v>
      </c>
      <c r="F7" s="22">
        <f>$T7*V7*$AF$7</f>
        <v>22461.400156883334</v>
      </c>
      <c r="G7" s="22">
        <f>$T7*W7*$AF$7^2</f>
        <v>23135.242161589831</v>
      </c>
      <c r="H7" s="22">
        <f>$T7*X7*$AF$7^3</f>
        <v>0</v>
      </c>
      <c r="I7" s="22">
        <f>$T7*Y7*$AF$7^4</f>
        <v>0</v>
      </c>
      <c r="J7" s="19">
        <f t="shared" ref="J7:J37" si="0">SUM(E7:I7)</f>
        <v>67403.826936806494</v>
      </c>
      <c r="K7" s="241"/>
      <c r="L7" s="348">
        <f>$T7*AA7</f>
        <v>4361.4369236666671</v>
      </c>
      <c r="M7" s="22">
        <f>$T7*AB7*$AF$7</f>
        <v>4492.2800313766675</v>
      </c>
      <c r="N7" s="22">
        <f>$T7*AC7*$AF$7^2</f>
        <v>4627.0484323179671</v>
      </c>
      <c r="O7" s="22">
        <f>$T7*AD7*$AF$7^3</f>
        <v>0</v>
      </c>
      <c r="P7" s="22">
        <f>$T7*AE7*$AF$7^4</f>
        <v>0</v>
      </c>
      <c r="Q7" s="19">
        <f t="shared" ref="Q7:Q37" si="1">SUM(L7:P7)</f>
        <v>13480.765387361302</v>
      </c>
      <c r="S7" s="90">
        <v>261686.21541999999</v>
      </c>
      <c r="T7" s="94">
        <f>+S7/12</f>
        <v>21807.184618333333</v>
      </c>
      <c r="U7" s="75">
        <v>1</v>
      </c>
      <c r="V7" s="75">
        <v>1</v>
      </c>
      <c r="W7" s="349">
        <v>1</v>
      </c>
      <c r="X7" s="350"/>
      <c r="Y7" s="351"/>
      <c r="Z7" s="17"/>
      <c r="AA7" s="352">
        <v>0.2</v>
      </c>
      <c r="AB7" s="75">
        <v>0.2</v>
      </c>
      <c r="AC7" s="75">
        <v>0.2</v>
      </c>
      <c r="AD7" s="75"/>
      <c r="AE7" s="75"/>
      <c r="AF7" s="325">
        <v>1.03</v>
      </c>
      <c r="AG7" s="353"/>
      <c r="AH7" s="353"/>
    </row>
    <row r="8" spans="1:34">
      <c r="A8" s="17"/>
      <c r="B8" s="354" t="s">
        <v>192</v>
      </c>
      <c r="C8" s="291" t="s">
        <v>191</v>
      </c>
      <c r="D8" s="20" t="s">
        <v>79</v>
      </c>
      <c r="E8" s="22">
        <f t="shared" ref="E8:E12" si="2">$T8*U8</f>
        <v>16666.666666666668</v>
      </c>
      <c r="F8" s="22">
        <f t="shared" ref="F8:F12" si="3">$T8*V8*$AF$7</f>
        <v>17166.666666666668</v>
      </c>
      <c r="G8" s="22">
        <f t="shared" ref="G8:G12" si="4">$T8*W8*$AF$7^2</f>
        <v>17681.666666666668</v>
      </c>
      <c r="H8" s="22">
        <f t="shared" ref="H8:H12" si="5">$T8*X8*$AF$7^3</f>
        <v>0</v>
      </c>
      <c r="I8" s="22">
        <f t="shared" ref="I8:I12" si="6">$T8*Y8*$AF$7^4</f>
        <v>0</v>
      </c>
      <c r="J8" s="19">
        <f t="shared" si="0"/>
        <v>51515</v>
      </c>
      <c r="K8" s="355"/>
      <c r="L8" s="348">
        <f t="shared" ref="L8:L12" si="7">$T8*AA8</f>
        <v>3333.3333333333339</v>
      </c>
      <c r="M8" s="22">
        <f t="shared" ref="M8:M12" si="8">$T8*AB8*$AF$7</f>
        <v>3433.3333333333339</v>
      </c>
      <c r="N8" s="22">
        <f t="shared" ref="N8:N12" si="9">$T8*AC8*$AF$7^2</f>
        <v>3536.3333333333339</v>
      </c>
      <c r="O8" s="22">
        <f t="shared" ref="O8:O12" si="10">$T8*AD8*$AF$7^3</f>
        <v>0</v>
      </c>
      <c r="P8" s="22">
        <f t="shared" ref="P8:P12" si="11">$T8*AE8*$AF$7^4</f>
        <v>0</v>
      </c>
      <c r="Q8" s="19">
        <f t="shared" si="1"/>
        <v>10303.000000000002</v>
      </c>
      <c r="S8" s="90">
        <f>150000/9*12</f>
        <v>200000</v>
      </c>
      <c r="T8" s="94">
        <f>+S8/12</f>
        <v>16666.666666666668</v>
      </c>
      <c r="U8" s="75">
        <v>1</v>
      </c>
      <c r="V8" s="75">
        <v>1</v>
      </c>
      <c r="W8" s="349">
        <v>1</v>
      </c>
      <c r="X8" s="350"/>
      <c r="Y8" s="351"/>
      <c r="Z8" s="17"/>
      <c r="AA8" s="352">
        <v>0.2</v>
      </c>
      <c r="AB8" s="75">
        <v>0.2</v>
      </c>
      <c r="AC8" s="75">
        <v>0.2</v>
      </c>
      <c r="AD8" s="75"/>
      <c r="AE8" s="75"/>
      <c r="AF8" s="16"/>
    </row>
    <row r="9" spans="1:34" hidden="1">
      <c r="A9" s="17"/>
      <c r="B9" s="254"/>
      <c r="C9" s="48"/>
      <c r="D9" s="48"/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22">
        <f t="shared" si="6"/>
        <v>0</v>
      </c>
      <c r="J9" s="19">
        <f t="shared" si="0"/>
        <v>0</v>
      </c>
      <c r="K9" s="241"/>
      <c r="L9" s="348">
        <f t="shared" si="7"/>
        <v>0</v>
      </c>
      <c r="M9" s="22">
        <f t="shared" si="8"/>
        <v>0</v>
      </c>
      <c r="N9" s="22">
        <f t="shared" si="9"/>
        <v>0</v>
      </c>
      <c r="O9" s="22">
        <f t="shared" si="10"/>
        <v>0</v>
      </c>
      <c r="P9" s="22">
        <f t="shared" si="11"/>
        <v>0</v>
      </c>
      <c r="Q9" s="19">
        <f t="shared" si="1"/>
        <v>0</v>
      </c>
      <c r="S9" s="90"/>
      <c r="T9" s="94">
        <v>0</v>
      </c>
      <c r="U9" s="75">
        <v>0</v>
      </c>
      <c r="V9" s="75">
        <v>0</v>
      </c>
      <c r="W9" s="349">
        <v>0</v>
      </c>
      <c r="X9" s="350"/>
      <c r="Y9" s="351"/>
      <c r="Z9" s="17"/>
      <c r="AA9" s="352">
        <v>0</v>
      </c>
      <c r="AB9" s="75">
        <v>0</v>
      </c>
      <c r="AC9" s="75">
        <v>0</v>
      </c>
      <c r="AD9" s="75"/>
      <c r="AE9" s="75"/>
      <c r="AF9" s="16"/>
    </row>
    <row r="10" spans="1:34" hidden="1">
      <c r="A10" s="17"/>
      <c r="B10" s="254"/>
      <c r="C10" s="48"/>
      <c r="D10" s="48"/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22">
        <f t="shared" si="6"/>
        <v>0</v>
      </c>
      <c r="J10" s="19">
        <f t="shared" si="0"/>
        <v>0</v>
      </c>
      <c r="K10" s="241"/>
      <c r="L10" s="348">
        <f t="shared" si="7"/>
        <v>0</v>
      </c>
      <c r="M10" s="22">
        <f t="shared" si="8"/>
        <v>0</v>
      </c>
      <c r="N10" s="22">
        <f t="shared" si="9"/>
        <v>0</v>
      </c>
      <c r="O10" s="22">
        <f t="shared" si="10"/>
        <v>0</v>
      </c>
      <c r="P10" s="22">
        <f t="shared" si="11"/>
        <v>0</v>
      </c>
      <c r="Q10" s="19">
        <f t="shared" si="1"/>
        <v>0</v>
      </c>
      <c r="S10" s="90"/>
      <c r="T10" s="94">
        <v>1</v>
      </c>
      <c r="U10" s="75">
        <v>0</v>
      </c>
      <c r="V10" s="75">
        <v>0</v>
      </c>
      <c r="W10" s="349">
        <v>0</v>
      </c>
      <c r="X10" s="350"/>
      <c r="Y10" s="351"/>
      <c r="Z10" s="17"/>
      <c r="AA10" s="352">
        <v>0</v>
      </c>
      <c r="AB10" s="75">
        <v>0</v>
      </c>
      <c r="AC10" s="75">
        <v>0</v>
      </c>
      <c r="AD10" s="75"/>
      <c r="AE10" s="75"/>
      <c r="AF10" s="16"/>
    </row>
    <row r="11" spans="1:34" hidden="1">
      <c r="A11" s="17"/>
      <c r="B11" s="256"/>
      <c r="C11" s="18"/>
      <c r="D11" s="18"/>
      <c r="E11" s="22">
        <f t="shared" si="2"/>
        <v>0</v>
      </c>
      <c r="F11" s="22">
        <f t="shared" si="3"/>
        <v>0</v>
      </c>
      <c r="G11" s="22">
        <f t="shared" si="4"/>
        <v>0</v>
      </c>
      <c r="H11" s="22">
        <f t="shared" si="5"/>
        <v>0</v>
      </c>
      <c r="I11" s="22">
        <f t="shared" si="6"/>
        <v>0</v>
      </c>
      <c r="J11" s="19">
        <f t="shared" si="0"/>
        <v>0</v>
      </c>
      <c r="K11" s="241"/>
      <c r="L11" s="348">
        <f t="shared" si="7"/>
        <v>0</v>
      </c>
      <c r="M11" s="22">
        <f t="shared" si="8"/>
        <v>0</v>
      </c>
      <c r="N11" s="22">
        <f t="shared" si="9"/>
        <v>0</v>
      </c>
      <c r="O11" s="22">
        <f t="shared" si="10"/>
        <v>0</v>
      </c>
      <c r="P11" s="22">
        <f t="shared" si="11"/>
        <v>0</v>
      </c>
      <c r="Q11" s="19">
        <f t="shared" si="1"/>
        <v>0</v>
      </c>
      <c r="S11" s="90"/>
      <c r="T11" s="99">
        <v>0</v>
      </c>
      <c r="U11" s="75">
        <v>0</v>
      </c>
      <c r="V11" s="75">
        <v>0</v>
      </c>
      <c r="W11" s="349">
        <v>0</v>
      </c>
      <c r="X11" s="350"/>
      <c r="Y11" s="351"/>
      <c r="Z11" s="17"/>
      <c r="AA11" s="352">
        <v>0</v>
      </c>
      <c r="AB11" s="75">
        <v>0</v>
      </c>
      <c r="AC11" s="75">
        <v>0</v>
      </c>
      <c r="AD11" s="75"/>
      <c r="AE11" s="75"/>
      <c r="AF11" s="16"/>
    </row>
    <row r="12" spans="1:34" hidden="1">
      <c r="A12" s="17"/>
      <c r="B12" s="21" t="s">
        <v>259</v>
      </c>
      <c r="C12" s="18"/>
      <c r="D12" s="18"/>
      <c r="E12" s="22">
        <f t="shared" si="2"/>
        <v>0</v>
      </c>
      <c r="F12" s="22">
        <f t="shared" si="3"/>
        <v>0</v>
      </c>
      <c r="G12" s="22">
        <f t="shared" si="4"/>
        <v>0</v>
      </c>
      <c r="H12" s="22">
        <f t="shared" si="5"/>
        <v>0</v>
      </c>
      <c r="I12" s="22">
        <f t="shared" si="6"/>
        <v>0</v>
      </c>
      <c r="J12" s="19">
        <f t="shared" si="0"/>
        <v>0</v>
      </c>
      <c r="K12" s="241"/>
      <c r="L12" s="348">
        <f t="shared" si="7"/>
        <v>0</v>
      </c>
      <c r="M12" s="22">
        <f t="shared" si="8"/>
        <v>0</v>
      </c>
      <c r="N12" s="22">
        <f t="shared" si="9"/>
        <v>0</v>
      </c>
      <c r="O12" s="22">
        <f t="shared" si="10"/>
        <v>0</v>
      </c>
      <c r="P12" s="22">
        <f t="shared" si="11"/>
        <v>0</v>
      </c>
      <c r="Q12" s="19">
        <f t="shared" si="1"/>
        <v>0</v>
      </c>
      <c r="S12" s="356"/>
      <c r="T12" s="357"/>
      <c r="U12" s="358"/>
      <c r="V12" s="358"/>
      <c r="W12" s="359"/>
      <c r="X12" s="358"/>
      <c r="Y12" s="358"/>
      <c r="Z12" s="17"/>
      <c r="AA12" s="360"/>
      <c r="AB12" s="358"/>
      <c r="AC12" s="358"/>
      <c r="AD12" s="258"/>
      <c r="AE12" s="258"/>
      <c r="AF12" s="16"/>
    </row>
    <row r="13" spans="1:34">
      <c r="A13" s="17"/>
      <c r="B13" s="21" t="s">
        <v>325</v>
      </c>
      <c r="C13" s="18"/>
      <c r="D13" s="18"/>
      <c r="E13" s="22">
        <f>SUM(E7:E12)</f>
        <v>38473.851284999997</v>
      </c>
      <c r="F13" s="22">
        <f>SUM(F7:F12)</f>
        <v>39628.066823550005</v>
      </c>
      <c r="G13" s="22">
        <f>SUM(G7:G12)</f>
        <v>40816.908828256499</v>
      </c>
      <c r="H13" s="22">
        <f>SUM(H7:H12)</f>
        <v>0</v>
      </c>
      <c r="I13" s="22">
        <f>SUM(I7:I12)</f>
        <v>0</v>
      </c>
      <c r="J13" s="19">
        <f>SUM(E13:I13)</f>
        <v>118918.82693680649</v>
      </c>
      <c r="K13" s="241"/>
      <c r="L13" s="348">
        <f>SUM(L7:L12)</f>
        <v>7694.770257000001</v>
      </c>
      <c r="M13" s="22">
        <f>SUM(M7:M12)</f>
        <v>7925.6133647100014</v>
      </c>
      <c r="N13" s="22">
        <f>SUM(N7:N12)</f>
        <v>8163.3817656513011</v>
      </c>
      <c r="O13" s="22">
        <f>SUM(O7:O12)</f>
        <v>0</v>
      </c>
      <c r="P13" s="22">
        <f>SUM(P7:P12)</f>
        <v>0</v>
      </c>
      <c r="Q13" s="19">
        <f t="shared" si="1"/>
        <v>23783.765387361305</v>
      </c>
      <c r="S13" s="259"/>
      <c r="U13" s="358"/>
      <c r="V13" s="358"/>
      <c r="W13" s="359"/>
      <c r="X13" s="358"/>
      <c r="Y13" s="358"/>
      <c r="Z13" s="17"/>
      <c r="AA13" s="360"/>
      <c r="AB13" s="358"/>
      <c r="AC13" s="358"/>
      <c r="AD13" s="258"/>
      <c r="AE13" s="258"/>
      <c r="AF13" s="16"/>
    </row>
    <row r="14" spans="1:34">
      <c r="A14" s="23" t="s">
        <v>29</v>
      </c>
      <c r="B14" s="2" t="s">
        <v>83</v>
      </c>
      <c r="E14" s="25"/>
      <c r="F14" s="25"/>
      <c r="G14" s="25"/>
      <c r="H14" s="25"/>
      <c r="I14" s="25"/>
      <c r="J14" s="19">
        <f t="shared" si="0"/>
        <v>0</v>
      </c>
      <c r="K14" s="241"/>
      <c r="L14" s="361"/>
      <c r="M14" s="25"/>
      <c r="N14" s="25"/>
      <c r="O14" s="25"/>
      <c r="P14" s="25"/>
      <c r="Q14" s="19">
        <f t="shared" si="1"/>
        <v>0</v>
      </c>
      <c r="S14" s="259"/>
      <c r="T14" s="260"/>
      <c r="U14" s="358"/>
      <c r="V14" s="358"/>
      <c r="W14" s="359"/>
      <c r="X14" s="358"/>
      <c r="Y14" s="358"/>
      <c r="Z14" s="17"/>
      <c r="AA14" s="360"/>
      <c r="AB14" s="358"/>
      <c r="AC14" s="358"/>
      <c r="AD14" s="258"/>
      <c r="AE14" s="258"/>
      <c r="AF14" s="16"/>
    </row>
    <row r="15" spans="1:34">
      <c r="A15" s="17"/>
      <c r="B15" s="21" t="s">
        <v>51</v>
      </c>
      <c r="C15" s="26"/>
      <c r="D15" s="26"/>
      <c r="E15" s="22">
        <f t="shared" ref="E15:E22" si="12">$T15*U15</f>
        <v>0</v>
      </c>
      <c r="F15" s="22">
        <f t="shared" ref="F15:F22" si="13">$T15*V15*$AF$7</f>
        <v>0</v>
      </c>
      <c r="G15" s="22">
        <f t="shared" ref="G15:G22" si="14">$T15*W15*$AF$7^2</f>
        <v>0</v>
      </c>
      <c r="H15" s="22">
        <f t="shared" ref="H15:H22" si="15">$T15*X15*$AF$7^3</f>
        <v>0</v>
      </c>
      <c r="I15" s="22">
        <f t="shared" ref="I15:I22" si="16">$T15*Y15*$AF$7^4</f>
        <v>0</v>
      </c>
      <c r="J15" s="19">
        <f t="shared" si="0"/>
        <v>0</v>
      </c>
      <c r="K15" s="241"/>
      <c r="L15" s="348">
        <f t="shared" ref="L15:L22" si="17">$T15*AA15</f>
        <v>0</v>
      </c>
      <c r="M15" s="22">
        <f t="shared" ref="M15:M22" si="18">$T15*AB15*$AF$7</f>
        <v>0</v>
      </c>
      <c r="N15" s="22">
        <f t="shared" ref="N15:N22" si="19">$T15*AC15*$AF$7^2</f>
        <v>0</v>
      </c>
      <c r="O15" s="22">
        <f t="shared" ref="O15:O22" si="20">$T15*AD15*$AF$7^3</f>
        <v>0</v>
      </c>
      <c r="P15" s="22">
        <f t="shared" ref="P15:P22" si="21">$T15*AE15*$AF$7^4</f>
        <v>0</v>
      </c>
      <c r="Q15" s="19">
        <f t="shared" si="1"/>
        <v>0</v>
      </c>
      <c r="S15" s="261">
        <f>+T15*12</f>
        <v>61200</v>
      </c>
      <c r="T15" s="262">
        <v>5100</v>
      </c>
      <c r="U15" s="75">
        <v>0</v>
      </c>
      <c r="V15" s="75">
        <v>0</v>
      </c>
      <c r="W15" s="349">
        <v>0</v>
      </c>
      <c r="X15" s="350">
        <v>0</v>
      </c>
      <c r="Y15" s="75">
        <v>0</v>
      </c>
      <c r="Z15" s="17"/>
      <c r="AA15" s="352">
        <v>0</v>
      </c>
      <c r="AB15" s="75">
        <v>0</v>
      </c>
      <c r="AC15" s="75">
        <v>0</v>
      </c>
      <c r="AD15" s="75"/>
      <c r="AE15" s="75"/>
      <c r="AF15" s="16"/>
    </row>
    <row r="16" spans="1:34" ht="15.75" customHeight="1">
      <c r="A16" s="17"/>
      <c r="B16" s="21" t="s">
        <v>50</v>
      </c>
      <c r="C16" s="18"/>
      <c r="D16" s="18"/>
      <c r="E16" s="22">
        <f t="shared" si="12"/>
        <v>0</v>
      </c>
      <c r="F16" s="22">
        <f t="shared" si="13"/>
        <v>0</v>
      </c>
      <c r="G16" s="22">
        <f t="shared" si="14"/>
        <v>0</v>
      </c>
      <c r="H16" s="22">
        <f t="shared" si="15"/>
        <v>0</v>
      </c>
      <c r="I16" s="22">
        <f t="shared" si="16"/>
        <v>0</v>
      </c>
      <c r="J16" s="19">
        <f t="shared" si="0"/>
        <v>0</v>
      </c>
      <c r="K16" s="241"/>
      <c r="L16" s="348">
        <f t="shared" si="17"/>
        <v>0</v>
      </c>
      <c r="M16" s="22">
        <f t="shared" si="18"/>
        <v>0</v>
      </c>
      <c r="N16" s="22">
        <f t="shared" si="19"/>
        <v>0</v>
      </c>
      <c r="O16" s="22">
        <f t="shared" si="20"/>
        <v>0</v>
      </c>
      <c r="P16" s="22">
        <f t="shared" si="21"/>
        <v>0</v>
      </c>
      <c r="Q16" s="19">
        <f t="shared" si="1"/>
        <v>0</v>
      </c>
      <c r="S16" s="261">
        <f>+T16*12</f>
        <v>60000</v>
      </c>
      <c r="T16" s="263">
        <v>5000</v>
      </c>
      <c r="U16" s="75">
        <v>0</v>
      </c>
      <c r="V16" s="75">
        <v>0</v>
      </c>
      <c r="W16" s="349">
        <v>0</v>
      </c>
      <c r="X16" s="350">
        <v>0</v>
      </c>
      <c r="Y16" s="75">
        <v>0</v>
      </c>
      <c r="Z16" s="17"/>
      <c r="AA16" s="352">
        <v>0</v>
      </c>
      <c r="AB16" s="75">
        <v>0</v>
      </c>
      <c r="AC16" s="75">
        <v>0</v>
      </c>
      <c r="AD16" s="75"/>
      <c r="AE16" s="75"/>
      <c r="AF16" s="16"/>
    </row>
    <row r="17" spans="1:33">
      <c r="A17" s="17"/>
      <c r="B17" s="21" t="s">
        <v>277</v>
      </c>
      <c r="C17" s="18"/>
      <c r="D17" s="18"/>
      <c r="E17" s="22">
        <f t="shared" si="12"/>
        <v>40382</v>
      </c>
      <c r="F17" s="22">
        <f t="shared" si="13"/>
        <v>41593.46</v>
      </c>
      <c r="G17" s="22">
        <f t="shared" si="14"/>
        <v>42841.263800000001</v>
      </c>
      <c r="H17" s="22">
        <f t="shared" si="15"/>
        <v>0</v>
      </c>
      <c r="I17" s="22">
        <f t="shared" si="16"/>
        <v>0</v>
      </c>
      <c r="J17" s="19">
        <f t="shared" si="0"/>
        <v>124816.72379999999</v>
      </c>
      <c r="K17" s="241"/>
      <c r="L17" s="348">
        <f t="shared" si="17"/>
        <v>10095.5</v>
      </c>
      <c r="M17" s="22">
        <f t="shared" si="18"/>
        <v>10398.365</v>
      </c>
      <c r="N17" s="22">
        <f t="shared" si="19"/>
        <v>10710.31595</v>
      </c>
      <c r="O17" s="22">
        <f t="shared" si="20"/>
        <v>0</v>
      </c>
      <c r="P17" s="22">
        <f t="shared" si="21"/>
        <v>0</v>
      </c>
      <c r="Q17" s="19">
        <f t="shared" si="1"/>
        <v>31204.180949999998</v>
      </c>
      <c r="S17" s="261">
        <v>40382</v>
      </c>
      <c r="T17" s="263">
        <f>+S17/12</f>
        <v>3365.1666666666665</v>
      </c>
      <c r="U17" s="75">
        <v>12</v>
      </c>
      <c r="V17" s="75">
        <v>12</v>
      </c>
      <c r="W17" s="349">
        <v>12</v>
      </c>
      <c r="X17" s="350">
        <v>0</v>
      </c>
      <c r="Y17" s="75">
        <v>0</v>
      </c>
      <c r="Z17" s="17"/>
      <c r="AA17" s="352">
        <v>3</v>
      </c>
      <c r="AB17" s="75">
        <v>3</v>
      </c>
      <c r="AC17" s="75">
        <v>3</v>
      </c>
      <c r="AD17" s="75"/>
      <c r="AE17" s="75"/>
      <c r="AF17" s="16"/>
      <c r="AG17" s="28"/>
    </row>
    <row r="18" spans="1:33">
      <c r="A18" s="17"/>
      <c r="B18" s="21" t="s">
        <v>278</v>
      </c>
      <c r="C18" s="18"/>
      <c r="D18" s="18"/>
      <c r="E18" s="22">
        <f t="shared" si="12"/>
        <v>82506</v>
      </c>
      <c r="F18" s="22">
        <f t="shared" si="13"/>
        <v>84981.180000000008</v>
      </c>
      <c r="G18" s="22">
        <f t="shared" si="14"/>
        <v>87530.615399999995</v>
      </c>
      <c r="H18" s="22">
        <f t="shared" si="15"/>
        <v>0</v>
      </c>
      <c r="I18" s="22">
        <f t="shared" si="16"/>
        <v>0</v>
      </c>
      <c r="J18" s="19">
        <f t="shared" si="0"/>
        <v>255017.7954</v>
      </c>
      <c r="K18" s="241"/>
      <c r="L18" s="348">
        <f t="shared" si="17"/>
        <v>10313.25</v>
      </c>
      <c r="M18" s="22">
        <f t="shared" si="18"/>
        <v>10622.647500000001</v>
      </c>
      <c r="N18" s="22">
        <f t="shared" si="19"/>
        <v>10941.326924999999</v>
      </c>
      <c r="O18" s="22">
        <f t="shared" si="20"/>
        <v>0</v>
      </c>
      <c r="P18" s="22">
        <f t="shared" si="21"/>
        <v>0</v>
      </c>
      <c r="Q18" s="19">
        <f t="shared" si="1"/>
        <v>31877.224425</v>
      </c>
      <c r="S18" s="261">
        <v>41253</v>
      </c>
      <c r="T18" s="263">
        <f t="shared" ref="T18:T19" si="22">+S18/12</f>
        <v>3437.75</v>
      </c>
      <c r="U18" s="75">
        <v>24</v>
      </c>
      <c r="V18" s="75">
        <v>24</v>
      </c>
      <c r="W18" s="349">
        <v>24</v>
      </c>
      <c r="X18" s="350">
        <v>0</v>
      </c>
      <c r="Y18" s="75">
        <v>0</v>
      </c>
      <c r="Z18" s="17"/>
      <c r="AA18" s="352">
        <v>3</v>
      </c>
      <c r="AB18" s="75">
        <v>3</v>
      </c>
      <c r="AC18" s="75">
        <v>3</v>
      </c>
      <c r="AD18" s="75"/>
      <c r="AE18" s="75"/>
      <c r="AF18" s="16"/>
      <c r="AG18" s="28"/>
    </row>
    <row r="19" spans="1:33">
      <c r="A19" s="17"/>
      <c r="B19" s="21" t="s">
        <v>279</v>
      </c>
      <c r="C19" s="18"/>
      <c r="D19" s="18"/>
      <c r="E19" s="22">
        <f t="shared" si="12"/>
        <v>42124</v>
      </c>
      <c r="F19" s="22">
        <f t="shared" si="13"/>
        <v>43387.72</v>
      </c>
      <c r="G19" s="22">
        <f t="shared" si="14"/>
        <v>44689.351599999995</v>
      </c>
      <c r="H19" s="22">
        <f t="shared" si="15"/>
        <v>0</v>
      </c>
      <c r="I19" s="22">
        <f t="shared" si="16"/>
        <v>0</v>
      </c>
      <c r="J19" s="19">
        <f t="shared" si="0"/>
        <v>130201.0716</v>
      </c>
      <c r="K19" s="241"/>
      <c r="L19" s="348">
        <f t="shared" si="17"/>
        <v>0</v>
      </c>
      <c r="M19" s="22">
        <f t="shared" si="18"/>
        <v>0</v>
      </c>
      <c r="N19" s="22">
        <f t="shared" si="19"/>
        <v>0</v>
      </c>
      <c r="O19" s="22">
        <f t="shared" si="20"/>
        <v>0</v>
      </c>
      <c r="P19" s="22">
        <f t="shared" si="21"/>
        <v>0</v>
      </c>
      <c r="Q19" s="19">
        <f t="shared" si="1"/>
        <v>0</v>
      </c>
      <c r="S19" s="261">
        <v>42124</v>
      </c>
      <c r="T19" s="263">
        <f t="shared" si="22"/>
        <v>3510.3333333333335</v>
      </c>
      <c r="U19" s="75">
        <v>12</v>
      </c>
      <c r="V19" s="75">
        <v>12</v>
      </c>
      <c r="W19" s="349">
        <v>12</v>
      </c>
      <c r="X19" s="350">
        <v>0</v>
      </c>
      <c r="Y19" s="75">
        <v>0</v>
      </c>
      <c r="Z19" s="17"/>
      <c r="AA19" s="352"/>
      <c r="AB19" s="75"/>
      <c r="AC19" s="75"/>
      <c r="AD19" s="75"/>
      <c r="AE19" s="75"/>
      <c r="AF19" s="16"/>
    </row>
    <row r="20" spans="1:33">
      <c r="A20" s="17"/>
      <c r="B20" s="21" t="s">
        <v>28</v>
      </c>
      <c r="C20" s="18"/>
      <c r="D20" s="18"/>
      <c r="E20" s="22">
        <f t="shared" si="12"/>
        <v>9270</v>
      </c>
      <c r="F20" s="22">
        <f t="shared" si="13"/>
        <v>9548.1</v>
      </c>
      <c r="G20" s="22">
        <f t="shared" si="14"/>
        <v>9834.5429999999997</v>
      </c>
      <c r="H20" s="22">
        <f t="shared" si="15"/>
        <v>0</v>
      </c>
      <c r="I20" s="22">
        <f t="shared" si="16"/>
        <v>0</v>
      </c>
      <c r="J20" s="19">
        <f t="shared" si="0"/>
        <v>28652.642999999996</v>
      </c>
      <c r="K20" s="241"/>
      <c r="L20" s="348">
        <f t="shared" si="17"/>
        <v>0</v>
      </c>
      <c r="M20" s="22">
        <f t="shared" si="18"/>
        <v>0</v>
      </c>
      <c r="N20" s="22">
        <f t="shared" si="19"/>
        <v>0</v>
      </c>
      <c r="O20" s="22">
        <f t="shared" si="20"/>
        <v>0</v>
      </c>
      <c r="P20" s="22">
        <f t="shared" si="21"/>
        <v>0</v>
      </c>
      <c r="Q20" s="19">
        <f t="shared" si="1"/>
        <v>0</v>
      </c>
      <c r="S20" s="261"/>
      <c r="T20" s="264">
        <v>15.45</v>
      </c>
      <c r="U20" s="75">
        <f>10*4*9+20*4*3</f>
        <v>600</v>
      </c>
      <c r="V20" s="75">
        <f t="shared" ref="V20:W20" si="23">10*4*9+20*4*3</f>
        <v>600</v>
      </c>
      <c r="W20" s="349">
        <f t="shared" si="23"/>
        <v>600</v>
      </c>
      <c r="X20" s="350">
        <v>0</v>
      </c>
      <c r="Y20" s="75">
        <v>0</v>
      </c>
      <c r="Z20" s="17"/>
      <c r="AA20" s="352">
        <v>0</v>
      </c>
      <c r="AB20" s="75">
        <v>0</v>
      </c>
      <c r="AC20" s="75">
        <v>0</v>
      </c>
      <c r="AD20" s="75"/>
      <c r="AE20" s="75"/>
      <c r="AF20" s="16"/>
    </row>
    <row r="21" spans="1:33">
      <c r="A21" s="17"/>
      <c r="B21" s="21" t="s">
        <v>27</v>
      </c>
      <c r="C21" s="18"/>
      <c r="D21" s="18"/>
      <c r="E21" s="22">
        <f t="shared" si="12"/>
        <v>0</v>
      </c>
      <c r="F21" s="22">
        <f t="shared" si="13"/>
        <v>0</v>
      </c>
      <c r="G21" s="22">
        <f t="shared" si="14"/>
        <v>0</v>
      </c>
      <c r="H21" s="22">
        <f t="shared" si="15"/>
        <v>0</v>
      </c>
      <c r="I21" s="22">
        <f t="shared" si="16"/>
        <v>0</v>
      </c>
      <c r="J21" s="19">
        <f t="shared" si="0"/>
        <v>0</v>
      </c>
      <c r="K21" s="241"/>
      <c r="L21" s="348">
        <f t="shared" si="17"/>
        <v>0</v>
      </c>
      <c r="M21" s="22">
        <f t="shared" si="18"/>
        <v>0</v>
      </c>
      <c r="N21" s="22">
        <f t="shared" si="19"/>
        <v>0</v>
      </c>
      <c r="O21" s="22">
        <f t="shared" si="20"/>
        <v>0</v>
      </c>
      <c r="P21" s="22">
        <f t="shared" si="21"/>
        <v>0</v>
      </c>
      <c r="Q21" s="19">
        <f t="shared" si="1"/>
        <v>0</v>
      </c>
      <c r="S21" s="261">
        <f>+T21*12</f>
        <v>36000</v>
      </c>
      <c r="T21" s="263">
        <v>3000</v>
      </c>
      <c r="U21" s="75">
        <v>0</v>
      </c>
      <c r="V21" s="75">
        <v>0</v>
      </c>
      <c r="W21" s="349">
        <v>0</v>
      </c>
      <c r="X21" s="350">
        <v>0</v>
      </c>
      <c r="Y21" s="75">
        <v>0</v>
      </c>
      <c r="Z21" s="17"/>
      <c r="AA21" s="352"/>
      <c r="AB21" s="75"/>
      <c r="AC21" s="75"/>
      <c r="AD21" s="75"/>
      <c r="AE21" s="75"/>
      <c r="AF21" s="16"/>
      <c r="AG21" s="97"/>
    </row>
    <row r="22" spans="1:33" s="34" customFormat="1">
      <c r="A22" s="30"/>
      <c r="B22" s="21" t="s">
        <v>26</v>
      </c>
      <c r="C22" s="18"/>
      <c r="D22" s="18"/>
      <c r="E22" s="22">
        <f t="shared" si="12"/>
        <v>0</v>
      </c>
      <c r="F22" s="22">
        <f t="shared" si="13"/>
        <v>0</v>
      </c>
      <c r="G22" s="22">
        <f t="shared" si="14"/>
        <v>0</v>
      </c>
      <c r="H22" s="22">
        <f t="shared" si="15"/>
        <v>0</v>
      </c>
      <c r="I22" s="22">
        <f t="shared" si="16"/>
        <v>0</v>
      </c>
      <c r="J22" s="19">
        <f t="shared" si="0"/>
        <v>0</v>
      </c>
      <c r="K22" s="362"/>
      <c r="L22" s="348">
        <f t="shared" si="17"/>
        <v>0</v>
      </c>
      <c r="M22" s="22">
        <f t="shared" si="18"/>
        <v>0</v>
      </c>
      <c r="N22" s="22">
        <f t="shared" si="19"/>
        <v>0</v>
      </c>
      <c r="O22" s="22">
        <f t="shared" si="20"/>
        <v>0</v>
      </c>
      <c r="P22" s="22">
        <f t="shared" si="21"/>
        <v>0</v>
      </c>
      <c r="Q22" s="19">
        <f t="shared" si="1"/>
        <v>0</v>
      </c>
      <c r="S22" s="265"/>
      <c r="T22" s="264">
        <v>10</v>
      </c>
      <c r="U22" s="75"/>
      <c r="V22" s="75"/>
      <c r="W22" s="349"/>
      <c r="X22" s="350"/>
      <c r="Y22" s="75"/>
      <c r="Z22" s="30"/>
      <c r="AA22" s="352"/>
      <c r="AB22" s="75"/>
      <c r="AC22" s="75"/>
      <c r="AD22" s="266"/>
      <c r="AE22" s="266"/>
      <c r="AF22" s="53"/>
    </row>
    <row r="23" spans="1:33" s="34" customFormat="1">
      <c r="A23" s="30"/>
      <c r="B23" s="31" t="s">
        <v>25</v>
      </c>
      <c r="C23" s="31"/>
      <c r="D23" s="31"/>
      <c r="E23" s="32">
        <f>E13+SUM(E15:E22)</f>
        <v>212755.85128499998</v>
      </c>
      <c r="F23" s="32">
        <f t="shared" ref="F23:J23" si="24">F13+SUM(F15:F22)</f>
        <v>219138.52682355003</v>
      </c>
      <c r="G23" s="32">
        <f t="shared" si="24"/>
        <v>225712.6826282565</v>
      </c>
      <c r="H23" s="32">
        <f t="shared" si="24"/>
        <v>0</v>
      </c>
      <c r="I23" s="32">
        <f t="shared" si="24"/>
        <v>0</v>
      </c>
      <c r="J23" s="33">
        <f t="shared" si="24"/>
        <v>657607.0607368066</v>
      </c>
      <c r="K23" s="362"/>
      <c r="L23" s="363">
        <f>L13+SUM(L15:L22)</f>
        <v>28103.520257</v>
      </c>
      <c r="M23" s="32">
        <f t="shared" ref="M23:Q23" si="25">M13+SUM(M15:M22)</f>
        <v>28946.625864710004</v>
      </c>
      <c r="N23" s="32">
        <f t="shared" si="25"/>
        <v>29815.0246406513</v>
      </c>
      <c r="O23" s="32">
        <f t="shared" si="25"/>
        <v>0</v>
      </c>
      <c r="P23" s="32">
        <f t="shared" si="25"/>
        <v>0</v>
      </c>
      <c r="Q23" s="33">
        <f t="shared" si="25"/>
        <v>86865.170762361304</v>
      </c>
      <c r="S23" s="364"/>
      <c r="T23" s="365"/>
      <c r="U23" s="366"/>
      <c r="V23" s="366"/>
      <c r="W23" s="367"/>
      <c r="X23" s="366"/>
      <c r="Y23" s="366"/>
      <c r="Z23" s="30"/>
      <c r="AA23" s="368"/>
      <c r="AB23" s="366"/>
      <c r="AC23" s="366"/>
      <c r="AD23" s="266"/>
      <c r="AE23" s="266"/>
      <c r="AF23" s="53"/>
    </row>
    <row r="24" spans="1:33">
      <c r="A24" s="23" t="s">
        <v>24</v>
      </c>
      <c r="B24" s="18" t="s">
        <v>44</v>
      </c>
      <c r="C24" s="18"/>
      <c r="D24" s="18"/>
      <c r="E24" s="29"/>
      <c r="F24" s="29"/>
      <c r="G24" s="29"/>
      <c r="H24" s="29"/>
      <c r="I24" s="29"/>
      <c r="J24" s="19"/>
      <c r="K24" s="241"/>
      <c r="L24" s="369"/>
      <c r="M24" s="29"/>
      <c r="N24" s="29"/>
      <c r="O24" s="29"/>
      <c r="P24" s="29"/>
      <c r="Q24" s="19"/>
      <c r="S24" s="259"/>
      <c r="W24" s="16"/>
      <c r="Z24" s="17"/>
      <c r="AA24" s="17"/>
      <c r="AD24" s="267"/>
      <c r="AE24" s="267"/>
      <c r="AF24" s="16"/>
    </row>
    <row r="25" spans="1:33">
      <c r="A25" s="17"/>
      <c r="B25" s="21" t="s">
        <v>302</v>
      </c>
      <c r="C25" s="18"/>
      <c r="D25" s="18"/>
      <c r="E25" s="22">
        <f>ROUND(($AF27*(E13)),0)</f>
        <v>2924</v>
      </c>
      <c r="F25" s="22">
        <f>ROUND(($AF27*(F13)),0)</f>
        <v>3012</v>
      </c>
      <c r="G25" s="22">
        <f>ROUND(($AF27*(G13)),0)</f>
        <v>3102</v>
      </c>
      <c r="H25" s="22">
        <f>ROUND(($AF27*(H13)),0)</f>
        <v>0</v>
      </c>
      <c r="I25" s="22">
        <f>ROUND(($AF27*(I13)),0)</f>
        <v>0</v>
      </c>
      <c r="J25" s="19">
        <f t="shared" si="0"/>
        <v>9038</v>
      </c>
      <c r="K25" s="241"/>
      <c r="L25" s="348">
        <f>ROUND(($AF26*(L13)),0)</f>
        <v>2301</v>
      </c>
      <c r="M25" s="22">
        <f>ROUND(($AF26*(M13)),0)</f>
        <v>2370</v>
      </c>
      <c r="N25" s="22">
        <f>ROUND(($AF26*(N13)),0)</f>
        <v>2441</v>
      </c>
      <c r="O25" s="22">
        <f>ROUND(($AF27*(O13)),0)</f>
        <v>0</v>
      </c>
      <c r="P25" s="22">
        <f>ROUND(($AF27*(P13)),0)</f>
        <v>0</v>
      </c>
      <c r="Q25" s="19">
        <f t="shared" si="1"/>
        <v>7112</v>
      </c>
      <c r="S25" s="259"/>
      <c r="W25" s="16"/>
      <c r="Z25" s="17"/>
      <c r="AA25" s="17"/>
      <c r="AD25" s="267"/>
      <c r="AE25" s="267"/>
      <c r="AF25" s="16"/>
    </row>
    <row r="26" spans="1:33">
      <c r="A26" s="17"/>
      <c r="B26" s="21" t="s">
        <v>260</v>
      </c>
      <c r="C26" s="18"/>
      <c r="D26" s="18"/>
      <c r="E26" s="22">
        <f>+(E15+E16)*$AF$26</f>
        <v>0</v>
      </c>
      <c r="F26" s="22">
        <f>+(F15+F16)*$AF$26</f>
        <v>0</v>
      </c>
      <c r="G26" s="22">
        <f>+(G15+G16)*$AF$26</f>
        <v>0</v>
      </c>
      <c r="H26" s="22">
        <f>+(H15+H16)*$AF$26</f>
        <v>0</v>
      </c>
      <c r="I26" s="22">
        <f>+(I15+I16)*$AF$26</f>
        <v>0</v>
      </c>
      <c r="J26" s="19">
        <f t="shared" si="0"/>
        <v>0</v>
      </c>
      <c r="K26" s="241"/>
      <c r="L26" s="348">
        <f>+(L15+L16)*$AF$26</f>
        <v>0</v>
      </c>
      <c r="M26" s="22">
        <f>+(M15+M16)*$AF$26</f>
        <v>0</v>
      </c>
      <c r="N26" s="22">
        <f>+(N15+N16)*$AF$26</f>
        <v>0</v>
      </c>
      <c r="O26" s="22">
        <f>+(O15+O16)*$AF$26</f>
        <v>0</v>
      </c>
      <c r="P26" s="22">
        <f>+(P15+P16)*$AF$26</f>
        <v>0</v>
      </c>
      <c r="Q26" s="19">
        <f t="shared" si="1"/>
        <v>0</v>
      </c>
      <c r="S26" s="259"/>
      <c r="W26" s="16"/>
      <c r="Z26" s="17"/>
      <c r="AA26" s="17"/>
      <c r="AD26" s="267"/>
      <c r="AE26" s="267"/>
      <c r="AF26" s="326">
        <v>0.29899999999999999</v>
      </c>
      <c r="AG26" s="2" t="s">
        <v>111</v>
      </c>
    </row>
    <row r="27" spans="1:33">
      <c r="A27" s="17"/>
      <c r="B27" s="21" t="s">
        <v>312</v>
      </c>
      <c r="C27" s="18"/>
      <c r="D27" s="18"/>
      <c r="E27" s="22">
        <f>ROUND(E17*$AF28,0)</f>
        <v>10903</v>
      </c>
      <c r="F27" s="22">
        <f>ROUND(F17*$AF28,0)</f>
        <v>11230</v>
      </c>
      <c r="G27" s="22">
        <f>ROUND(G17*$AF28,0)</f>
        <v>11567</v>
      </c>
      <c r="H27" s="22">
        <f>ROUND(H17*$AF28,0)</f>
        <v>0</v>
      </c>
      <c r="I27" s="22">
        <f>ROUND(I17*$AF28,0)</f>
        <v>0</v>
      </c>
      <c r="J27" s="19">
        <f t="shared" si="0"/>
        <v>33700</v>
      </c>
      <c r="K27" s="241"/>
      <c r="L27" s="348">
        <f>ROUND(L17*$AF28,0)</f>
        <v>2726</v>
      </c>
      <c r="M27" s="22">
        <f>ROUND(M17*$AF28,0)</f>
        <v>2808</v>
      </c>
      <c r="N27" s="22">
        <f>ROUND(N17*$AF28,0)</f>
        <v>2892</v>
      </c>
      <c r="O27" s="22">
        <f>ROUND(O17*$AF28,0)</f>
        <v>0</v>
      </c>
      <c r="P27" s="22">
        <f>ROUND(P17*$AF28,0)</f>
        <v>0</v>
      </c>
      <c r="Q27" s="19">
        <f t="shared" si="1"/>
        <v>8426</v>
      </c>
      <c r="S27" s="259"/>
      <c r="W27" s="16"/>
      <c r="Z27" s="17"/>
      <c r="AA27" s="17"/>
      <c r="AD27" s="267"/>
      <c r="AE27" s="267"/>
      <c r="AF27" s="326">
        <v>7.5999999999999998E-2</v>
      </c>
      <c r="AG27" s="2" t="s">
        <v>80</v>
      </c>
    </row>
    <row r="28" spans="1:33">
      <c r="A28" s="17"/>
      <c r="B28" s="21" t="s">
        <v>313</v>
      </c>
      <c r="C28" s="18"/>
      <c r="D28" s="18"/>
      <c r="E28" s="22">
        <f>ROUND(E19*$AF27,0)</f>
        <v>3201</v>
      </c>
      <c r="F28" s="22">
        <f>ROUND(F19*$AF27,0)</f>
        <v>3297</v>
      </c>
      <c r="G28" s="22">
        <f>ROUND(G19*$AF27,0)</f>
        <v>3396</v>
      </c>
      <c r="H28" s="22">
        <f>ROUND(H19*$AF27,0)</f>
        <v>0</v>
      </c>
      <c r="I28" s="22">
        <f>ROUND(I19*$AF27,0)</f>
        <v>0</v>
      </c>
      <c r="J28" s="19">
        <f t="shared" si="0"/>
        <v>9894</v>
      </c>
      <c r="K28" s="241"/>
      <c r="L28" s="348">
        <f>ROUND(L19*$AF27,0)</f>
        <v>0</v>
      </c>
      <c r="M28" s="22">
        <f>ROUND(M19*$AF27,0)</f>
        <v>0</v>
      </c>
      <c r="N28" s="22">
        <f>ROUND(N19*$AF27,0)</f>
        <v>0</v>
      </c>
      <c r="O28" s="22">
        <f>ROUND(O19*$AF27,0)</f>
        <v>0</v>
      </c>
      <c r="P28" s="22">
        <f>ROUND(P19*$AF27,0)</f>
        <v>0</v>
      </c>
      <c r="Q28" s="19">
        <f t="shared" si="1"/>
        <v>0</v>
      </c>
      <c r="S28" s="259"/>
      <c r="W28" s="16"/>
      <c r="Z28" s="17"/>
      <c r="AA28" s="17"/>
      <c r="AD28" s="267"/>
      <c r="AE28" s="267"/>
      <c r="AF28" s="326">
        <v>0.27</v>
      </c>
      <c r="AG28" s="2" t="s">
        <v>81</v>
      </c>
    </row>
    <row r="29" spans="1:33">
      <c r="A29" s="17"/>
      <c r="B29" s="21" t="s">
        <v>109</v>
      </c>
      <c r="C29" s="18"/>
      <c r="D29" s="18"/>
      <c r="E29" s="22">
        <f>+E20*$AF$29</f>
        <v>3300.12</v>
      </c>
      <c r="F29" s="22">
        <f>+F20*$AF$29</f>
        <v>3399.1235999999999</v>
      </c>
      <c r="G29" s="22">
        <f>+G20*$AF$29</f>
        <v>3501.0973079999999</v>
      </c>
      <c r="H29" s="22">
        <f>+H20*$AF$29</f>
        <v>0</v>
      </c>
      <c r="I29" s="22">
        <f>+I20*$AF$29</f>
        <v>0</v>
      </c>
      <c r="J29" s="19">
        <f t="shared" si="0"/>
        <v>10200.340908</v>
      </c>
      <c r="K29" s="241"/>
      <c r="L29" s="348">
        <f>+L20*$AF$29</f>
        <v>0</v>
      </c>
      <c r="M29" s="22">
        <f>+M20*$AF$29</f>
        <v>0</v>
      </c>
      <c r="N29" s="22">
        <f>+N20*$AF$29</f>
        <v>0</v>
      </c>
      <c r="O29" s="22">
        <f>+O20*$AF$29</f>
        <v>0</v>
      </c>
      <c r="P29" s="22">
        <f>+P20*$AF$29</f>
        <v>0</v>
      </c>
      <c r="Q29" s="19">
        <f t="shared" si="1"/>
        <v>0</v>
      </c>
      <c r="S29" s="259"/>
      <c r="W29" s="16"/>
      <c r="Z29" s="17"/>
      <c r="AA29" s="17"/>
      <c r="AD29" s="267"/>
      <c r="AE29" s="267"/>
      <c r="AF29" s="326">
        <v>0.35599999999999998</v>
      </c>
      <c r="AG29" s="2" t="s">
        <v>110</v>
      </c>
    </row>
    <row r="30" spans="1:33">
      <c r="A30" s="17"/>
      <c r="B30" s="18" t="s">
        <v>46</v>
      </c>
      <c r="C30" s="18"/>
      <c r="D30" s="18"/>
      <c r="E30" s="22">
        <f>SUM(E25:E29)</f>
        <v>20328.12</v>
      </c>
      <c r="F30" s="22">
        <f t="shared" ref="F30:I30" si="26">SUM(F25:F29)</f>
        <v>20938.123599999999</v>
      </c>
      <c r="G30" s="22">
        <f t="shared" si="26"/>
        <v>21566.097308</v>
      </c>
      <c r="H30" s="22">
        <f t="shared" si="26"/>
        <v>0</v>
      </c>
      <c r="I30" s="22">
        <f t="shared" si="26"/>
        <v>0</v>
      </c>
      <c r="J30" s="19">
        <f t="shared" si="0"/>
        <v>62832.340907999998</v>
      </c>
      <c r="K30" s="241"/>
      <c r="L30" s="348">
        <f>SUM(L25:L29)</f>
        <v>5027</v>
      </c>
      <c r="M30" s="22">
        <f t="shared" ref="M30:P30" si="27">SUM(M25:M29)</f>
        <v>5178</v>
      </c>
      <c r="N30" s="22">
        <f t="shared" si="27"/>
        <v>5333</v>
      </c>
      <c r="O30" s="22">
        <f t="shared" si="27"/>
        <v>0</v>
      </c>
      <c r="P30" s="22">
        <f t="shared" si="27"/>
        <v>0</v>
      </c>
      <c r="Q30" s="19">
        <f t="shared" si="1"/>
        <v>15538</v>
      </c>
      <c r="S30" s="259"/>
      <c r="W30" s="16"/>
      <c r="Z30" s="17"/>
      <c r="AA30" s="17"/>
      <c r="AD30" s="267"/>
      <c r="AE30" s="267"/>
      <c r="AF30" s="16"/>
    </row>
    <row r="31" spans="1:33" s="34" customFormat="1">
      <c r="A31" s="30"/>
      <c r="B31" s="31" t="s">
        <v>23</v>
      </c>
      <c r="C31" s="31"/>
      <c r="D31" s="31"/>
      <c r="E31" s="32">
        <f>E30+E22</f>
        <v>20328.12</v>
      </c>
      <c r="F31" s="32">
        <f>F30+F22</f>
        <v>20938.123599999999</v>
      </c>
      <c r="G31" s="32">
        <f>G30+G22</f>
        <v>21566.097308</v>
      </c>
      <c r="H31" s="32">
        <f>H30+H22</f>
        <v>0</v>
      </c>
      <c r="I31" s="32">
        <f>I30+I22</f>
        <v>0</v>
      </c>
      <c r="J31" s="33">
        <f t="shared" si="0"/>
        <v>62832.340907999998</v>
      </c>
      <c r="K31" s="362"/>
      <c r="L31" s="363">
        <f>L30+L22</f>
        <v>5027</v>
      </c>
      <c r="M31" s="32">
        <f>M30+M22</f>
        <v>5178</v>
      </c>
      <c r="N31" s="32">
        <f>N30+N22</f>
        <v>5333</v>
      </c>
      <c r="O31" s="32">
        <f>O30+O22</f>
        <v>0</v>
      </c>
      <c r="P31" s="32">
        <f>P30+P22</f>
        <v>0</v>
      </c>
      <c r="Q31" s="33">
        <f t="shared" si="1"/>
        <v>15538</v>
      </c>
      <c r="S31" s="257"/>
      <c r="T31" s="66"/>
      <c r="W31" s="53"/>
      <c r="Z31" s="30"/>
      <c r="AA31" s="30"/>
      <c r="AD31" s="266"/>
      <c r="AE31" s="266"/>
      <c r="AF31" s="16"/>
    </row>
    <row r="32" spans="1:33">
      <c r="A32" s="23" t="s">
        <v>22</v>
      </c>
      <c r="B32" s="18" t="s">
        <v>45</v>
      </c>
      <c r="C32" s="18"/>
      <c r="D32" s="18"/>
      <c r="E32" s="29"/>
      <c r="F32" s="29"/>
      <c r="G32" s="29"/>
      <c r="H32" s="29"/>
      <c r="I32" s="29"/>
      <c r="J32" s="19"/>
      <c r="K32" s="241"/>
      <c r="L32" s="369"/>
      <c r="M32" s="29"/>
      <c r="N32" s="29"/>
      <c r="O32" s="29"/>
      <c r="P32" s="29"/>
      <c r="Q32" s="19"/>
      <c r="S32" s="259"/>
      <c r="W32" s="16"/>
      <c r="Z32" s="17"/>
      <c r="AA32" s="17"/>
      <c r="AD32" s="267"/>
      <c r="AE32" s="267"/>
      <c r="AF32" s="16"/>
    </row>
    <row r="33" spans="1:32" hidden="1">
      <c r="A33" s="17"/>
      <c r="B33" s="21"/>
      <c r="C33" s="18"/>
      <c r="D33" s="36"/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19">
        <f t="shared" si="0"/>
        <v>0</v>
      </c>
      <c r="K33" s="241"/>
      <c r="L33" s="348">
        <v>0</v>
      </c>
      <c r="M33" s="22">
        <v>0</v>
      </c>
      <c r="N33" s="22">
        <v>0</v>
      </c>
      <c r="O33" s="22">
        <v>0</v>
      </c>
      <c r="P33" s="22">
        <v>0</v>
      </c>
      <c r="Q33" s="19">
        <f t="shared" si="1"/>
        <v>0</v>
      </c>
      <c r="S33" s="259"/>
      <c r="W33" s="16"/>
      <c r="Z33" s="17"/>
      <c r="AA33" s="17"/>
      <c r="AD33" s="267"/>
      <c r="AE33" s="267"/>
      <c r="AF33" s="16"/>
    </row>
    <row r="34" spans="1:32" hidden="1">
      <c r="A34" s="17"/>
      <c r="B34" s="268"/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19">
        <f t="shared" si="0"/>
        <v>0</v>
      </c>
      <c r="K34" s="241"/>
      <c r="L34" s="348">
        <v>0</v>
      </c>
      <c r="M34" s="22">
        <v>0</v>
      </c>
      <c r="N34" s="22">
        <v>0</v>
      </c>
      <c r="O34" s="22">
        <v>0</v>
      </c>
      <c r="P34" s="22">
        <v>0</v>
      </c>
      <c r="Q34" s="19">
        <f t="shared" si="1"/>
        <v>0</v>
      </c>
      <c r="S34" s="259"/>
      <c r="W34" s="16"/>
      <c r="Z34" s="17"/>
      <c r="AA34" s="17"/>
      <c r="AD34" s="267"/>
      <c r="AE34" s="267"/>
      <c r="AF34" s="16"/>
    </row>
    <row r="35" spans="1:32">
      <c r="A35" s="17"/>
      <c r="B35" s="18" t="s">
        <v>21</v>
      </c>
      <c r="C35" s="18"/>
      <c r="D35" s="18"/>
      <c r="E35" s="22">
        <f>+E33+E34</f>
        <v>0</v>
      </c>
      <c r="F35" s="22">
        <f t="shared" ref="F35:I35" si="28">+F33+F34</f>
        <v>0</v>
      </c>
      <c r="G35" s="22">
        <f t="shared" si="28"/>
        <v>0</v>
      </c>
      <c r="H35" s="22">
        <f t="shared" si="28"/>
        <v>0</v>
      </c>
      <c r="I35" s="22">
        <f t="shared" si="28"/>
        <v>0</v>
      </c>
      <c r="J35" s="19">
        <f t="shared" si="0"/>
        <v>0</v>
      </c>
      <c r="K35" s="241"/>
      <c r="L35" s="348">
        <f>+L33+L34</f>
        <v>0</v>
      </c>
      <c r="M35" s="22">
        <f t="shared" ref="M35:P35" si="29">+M33+M34</f>
        <v>0</v>
      </c>
      <c r="N35" s="22">
        <f t="shared" si="29"/>
        <v>0</v>
      </c>
      <c r="O35" s="22">
        <f t="shared" si="29"/>
        <v>0</v>
      </c>
      <c r="P35" s="22">
        <f t="shared" si="29"/>
        <v>0</v>
      </c>
      <c r="Q35" s="19">
        <f t="shared" si="1"/>
        <v>0</v>
      </c>
      <c r="S35" s="259"/>
      <c r="W35" s="16"/>
      <c r="Z35" s="17"/>
      <c r="AA35" s="17"/>
      <c r="AD35" s="267"/>
      <c r="AE35" s="267"/>
      <c r="AF35" s="16"/>
    </row>
    <row r="36" spans="1:32">
      <c r="A36" s="23" t="s">
        <v>20</v>
      </c>
      <c r="B36" s="18" t="s">
        <v>19</v>
      </c>
      <c r="C36" s="18" t="s">
        <v>43</v>
      </c>
      <c r="D36" s="18"/>
      <c r="E36" s="22">
        <v>5000</v>
      </c>
      <c r="F36" s="22">
        <v>5000</v>
      </c>
      <c r="G36" s="22">
        <v>5000</v>
      </c>
      <c r="H36" s="22"/>
      <c r="I36" s="22"/>
      <c r="J36" s="19">
        <f t="shared" si="0"/>
        <v>15000</v>
      </c>
      <c r="K36" s="241"/>
      <c r="L36" s="348"/>
      <c r="M36" s="22"/>
      <c r="N36" s="22"/>
      <c r="O36" s="22"/>
      <c r="P36" s="22"/>
      <c r="Q36" s="19">
        <f t="shared" si="1"/>
        <v>0</v>
      </c>
      <c r="S36" s="259"/>
      <c r="W36" s="16"/>
      <c r="Z36" s="17"/>
      <c r="AA36" s="17"/>
      <c r="AD36" s="267"/>
      <c r="AE36" s="267"/>
      <c r="AF36" s="16"/>
    </row>
    <row r="37" spans="1:32">
      <c r="A37" s="17"/>
      <c r="B37" s="39"/>
      <c r="C37" s="18" t="s">
        <v>18</v>
      </c>
      <c r="D37" s="18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19">
        <f t="shared" si="0"/>
        <v>0</v>
      </c>
      <c r="K37" s="241"/>
      <c r="L37" s="348">
        <v>0</v>
      </c>
      <c r="M37" s="22">
        <v>0</v>
      </c>
      <c r="N37" s="22">
        <v>0</v>
      </c>
      <c r="O37" s="22">
        <v>0</v>
      </c>
      <c r="P37" s="22">
        <v>0</v>
      </c>
      <c r="Q37" s="19">
        <f t="shared" si="1"/>
        <v>0</v>
      </c>
      <c r="S37" s="259"/>
      <c r="W37" s="16"/>
      <c r="Z37" s="17"/>
      <c r="AA37" s="17"/>
      <c r="AD37" s="267"/>
      <c r="AE37" s="267"/>
      <c r="AF37" s="16"/>
    </row>
    <row r="38" spans="1:32">
      <c r="A38" s="17"/>
      <c r="B38" s="2" t="s">
        <v>47</v>
      </c>
      <c r="E38" s="22">
        <f>SUM(E36:E37)</f>
        <v>5000</v>
      </c>
      <c r="F38" s="22">
        <f>SUM(F36:F37)</f>
        <v>5000</v>
      </c>
      <c r="G38" s="22">
        <f>SUM(G36:G37)</f>
        <v>5000</v>
      </c>
      <c r="H38" s="22">
        <f>SUM(H36:H37)</f>
        <v>0</v>
      </c>
      <c r="I38" s="22">
        <f>SUM(I36:I37)</f>
        <v>0</v>
      </c>
      <c r="J38" s="19">
        <f t="shared" ref="J38:J45" si="30">SUM(E38:I38)</f>
        <v>15000</v>
      </c>
      <c r="K38" s="241"/>
      <c r="L38" s="348">
        <f>SUM(L36:L37)</f>
        <v>0</v>
      </c>
      <c r="M38" s="22">
        <f>SUM(M36:M37)</f>
        <v>0</v>
      </c>
      <c r="N38" s="22">
        <f>SUM(N36:N37)</f>
        <v>0</v>
      </c>
      <c r="O38" s="22">
        <f>SUM(O36:O37)</f>
        <v>0</v>
      </c>
      <c r="P38" s="22">
        <f>SUM(P36:P37)</f>
        <v>0</v>
      </c>
      <c r="Q38" s="19">
        <f t="shared" ref="Q38:Q45" si="31">SUM(L38:P38)</f>
        <v>0</v>
      </c>
      <c r="S38" s="259"/>
      <c r="W38" s="16"/>
      <c r="Z38" s="17"/>
      <c r="AA38" s="17"/>
      <c r="AD38" s="267"/>
      <c r="AE38" s="267"/>
      <c r="AF38" s="16"/>
    </row>
    <row r="39" spans="1:32">
      <c r="A39" s="40" t="s">
        <v>17</v>
      </c>
      <c r="B39" s="39" t="s">
        <v>16</v>
      </c>
      <c r="C39" s="41"/>
      <c r="D39" s="41"/>
      <c r="E39" s="42"/>
      <c r="F39" s="42"/>
      <c r="G39" s="42"/>
      <c r="H39" s="42"/>
      <c r="I39" s="42"/>
      <c r="J39" s="19"/>
      <c r="K39" s="370"/>
      <c r="L39" s="371"/>
      <c r="M39" s="42"/>
      <c r="N39" s="42"/>
      <c r="O39" s="42"/>
      <c r="P39" s="42"/>
      <c r="Q39" s="19"/>
      <c r="S39" s="259"/>
      <c r="W39" s="16"/>
      <c r="Z39" s="17"/>
      <c r="AA39" s="17"/>
      <c r="AD39" s="267"/>
      <c r="AE39" s="267"/>
      <c r="AF39" s="16"/>
    </row>
    <row r="40" spans="1:32" hidden="1">
      <c r="A40" s="17"/>
      <c r="B40" s="121" t="s">
        <v>282</v>
      </c>
      <c r="C40" s="44">
        <v>0</v>
      </c>
      <c r="E40" s="22"/>
      <c r="F40" s="22">
        <v>0</v>
      </c>
      <c r="G40" s="22">
        <v>0</v>
      </c>
      <c r="H40" s="22">
        <v>0</v>
      </c>
      <c r="I40" s="22">
        <v>0</v>
      </c>
      <c r="J40" s="19">
        <f t="shared" si="30"/>
        <v>0</v>
      </c>
      <c r="K40" s="241"/>
      <c r="L40" s="348"/>
      <c r="M40" s="22">
        <v>0</v>
      </c>
      <c r="N40" s="22">
        <v>0</v>
      </c>
      <c r="O40" s="22">
        <v>0</v>
      </c>
      <c r="P40" s="22">
        <v>0</v>
      </c>
      <c r="Q40" s="19">
        <f t="shared" si="31"/>
        <v>0</v>
      </c>
      <c r="S40" s="259"/>
      <c r="W40" s="16"/>
      <c r="Z40" s="17"/>
      <c r="AA40" s="17"/>
      <c r="AD40" s="267"/>
      <c r="AE40" s="267"/>
      <c r="AF40" s="16"/>
    </row>
    <row r="41" spans="1:32" hidden="1">
      <c r="A41" s="17"/>
      <c r="B41" s="121" t="s">
        <v>283</v>
      </c>
      <c r="C41" s="44"/>
      <c r="E41" s="22"/>
      <c r="F41" s="22"/>
      <c r="G41" s="22"/>
      <c r="H41" s="22"/>
      <c r="I41" s="22"/>
      <c r="J41" s="19">
        <f t="shared" si="30"/>
        <v>0</v>
      </c>
      <c r="K41" s="241"/>
      <c r="L41" s="348"/>
      <c r="M41" s="22"/>
      <c r="N41" s="22"/>
      <c r="O41" s="22"/>
      <c r="P41" s="22"/>
      <c r="Q41" s="19">
        <f t="shared" si="31"/>
        <v>0</v>
      </c>
      <c r="S41" s="259"/>
      <c r="W41" s="16"/>
      <c r="Z41" s="17"/>
      <c r="AA41" s="17"/>
      <c r="AD41" s="267"/>
      <c r="AE41" s="267"/>
      <c r="AF41" s="16"/>
    </row>
    <row r="42" spans="1:32" hidden="1">
      <c r="A42" s="17"/>
      <c r="B42" s="121" t="s">
        <v>284</v>
      </c>
      <c r="C42" s="44">
        <v>0</v>
      </c>
      <c r="E42" s="22"/>
      <c r="F42" s="22"/>
      <c r="G42" s="22"/>
      <c r="H42" s="22"/>
      <c r="I42" s="22"/>
      <c r="J42" s="19">
        <f t="shared" si="30"/>
        <v>0</v>
      </c>
      <c r="K42" s="241"/>
      <c r="L42" s="348"/>
      <c r="M42" s="22"/>
      <c r="N42" s="22"/>
      <c r="O42" s="22"/>
      <c r="P42" s="22"/>
      <c r="Q42" s="19">
        <f t="shared" si="31"/>
        <v>0</v>
      </c>
      <c r="S42" s="259"/>
      <c r="W42" s="16"/>
      <c r="Z42" s="17"/>
      <c r="AA42" s="17"/>
      <c r="AD42" s="267"/>
      <c r="AE42" s="267"/>
      <c r="AF42" s="16"/>
    </row>
    <row r="43" spans="1:32" hidden="1">
      <c r="A43" s="17"/>
      <c r="B43" s="269" t="s">
        <v>285</v>
      </c>
      <c r="C43" s="44">
        <v>0</v>
      </c>
      <c r="E43" s="22"/>
      <c r="F43" s="22"/>
      <c r="G43" s="22"/>
      <c r="H43" s="22"/>
      <c r="I43" s="22"/>
      <c r="J43" s="19">
        <f t="shared" si="30"/>
        <v>0</v>
      </c>
      <c r="K43" s="241"/>
      <c r="L43" s="348"/>
      <c r="M43" s="22"/>
      <c r="N43" s="22"/>
      <c r="O43" s="22"/>
      <c r="P43" s="22"/>
      <c r="Q43" s="19">
        <f t="shared" si="31"/>
        <v>0</v>
      </c>
      <c r="S43" s="259"/>
      <c r="W43" s="16"/>
      <c r="Z43" s="17"/>
      <c r="AA43" s="17"/>
      <c r="AD43" s="267"/>
      <c r="AE43" s="267"/>
      <c r="AF43" s="16"/>
    </row>
    <row r="44" spans="1:32" ht="14.25" hidden="1" customHeight="1">
      <c r="A44" s="17"/>
      <c r="B44" s="2" t="s">
        <v>286</v>
      </c>
      <c r="C44" s="44">
        <v>0</v>
      </c>
      <c r="E44" s="22"/>
      <c r="F44" s="22"/>
      <c r="G44" s="22"/>
      <c r="H44" s="22"/>
      <c r="I44" s="22"/>
      <c r="J44" s="19">
        <f t="shared" si="30"/>
        <v>0</v>
      </c>
      <c r="K44" s="241"/>
      <c r="L44" s="348"/>
      <c r="M44" s="22"/>
      <c r="N44" s="22"/>
      <c r="O44" s="22"/>
      <c r="P44" s="22"/>
      <c r="Q44" s="19">
        <f t="shared" si="31"/>
        <v>0</v>
      </c>
      <c r="S44" s="259"/>
      <c r="W44" s="16"/>
      <c r="Z44" s="17"/>
      <c r="AA44" s="17"/>
      <c r="AD44" s="267"/>
      <c r="AE44" s="267"/>
      <c r="AF44" s="16"/>
    </row>
    <row r="45" spans="1:32">
      <c r="A45" s="17"/>
      <c r="B45" s="316" t="s">
        <v>11</v>
      </c>
      <c r="C45" s="47"/>
      <c r="D45" s="39"/>
      <c r="E45" s="22">
        <f>SUM(E40:E43)</f>
        <v>0</v>
      </c>
      <c r="F45" s="22">
        <f t="shared" ref="F45:I45" si="32">SUM(F40:F43)</f>
        <v>0</v>
      </c>
      <c r="G45" s="22">
        <f t="shared" si="32"/>
        <v>0</v>
      </c>
      <c r="H45" s="22">
        <f t="shared" si="32"/>
        <v>0</v>
      </c>
      <c r="I45" s="22">
        <f t="shared" si="32"/>
        <v>0</v>
      </c>
      <c r="J45" s="19">
        <f t="shared" si="30"/>
        <v>0</v>
      </c>
      <c r="K45" s="241"/>
      <c r="L45" s="348">
        <f>SUM(L40:L43)</f>
        <v>0</v>
      </c>
      <c r="M45" s="22">
        <f t="shared" ref="M45:P45" si="33">SUM(M40:M43)</f>
        <v>0</v>
      </c>
      <c r="N45" s="22">
        <f t="shared" si="33"/>
        <v>0</v>
      </c>
      <c r="O45" s="22">
        <f t="shared" si="33"/>
        <v>0</v>
      </c>
      <c r="P45" s="22">
        <f t="shared" si="33"/>
        <v>0</v>
      </c>
      <c r="Q45" s="19">
        <f t="shared" si="31"/>
        <v>0</v>
      </c>
      <c r="S45" s="259"/>
      <c r="W45" s="16"/>
      <c r="Z45" s="17"/>
      <c r="AA45" s="17"/>
      <c r="AD45" s="267"/>
      <c r="AE45" s="267"/>
      <c r="AF45" s="16"/>
    </row>
    <row r="46" spans="1:32">
      <c r="A46" s="23" t="s">
        <v>10</v>
      </c>
      <c r="B46" s="18" t="s">
        <v>9</v>
      </c>
      <c r="C46" s="18"/>
      <c r="D46" s="18"/>
      <c r="E46" s="42"/>
      <c r="F46" s="42"/>
      <c r="G46" s="42"/>
      <c r="H46" s="42"/>
      <c r="I46" s="42"/>
      <c r="J46" s="19"/>
      <c r="K46" s="370"/>
      <c r="L46" s="371"/>
      <c r="M46" s="42"/>
      <c r="N46" s="42"/>
      <c r="O46" s="42"/>
      <c r="P46" s="42"/>
      <c r="Q46" s="19"/>
      <c r="S46" s="259"/>
      <c r="W46" s="16"/>
      <c r="Z46" s="17"/>
      <c r="AA46" s="17"/>
      <c r="AD46" s="267"/>
      <c r="AE46" s="267"/>
      <c r="AF46" s="16"/>
    </row>
    <row r="47" spans="1:32">
      <c r="A47" s="17"/>
      <c r="B47" s="21" t="s">
        <v>8</v>
      </c>
      <c r="C47" s="18"/>
      <c r="D47" s="18"/>
      <c r="E47" s="22">
        <v>20000</v>
      </c>
      <c r="F47" s="22">
        <v>20000</v>
      </c>
      <c r="G47" s="22">
        <v>20000</v>
      </c>
      <c r="H47" s="22">
        <v>0</v>
      </c>
      <c r="I47" s="22">
        <v>0</v>
      </c>
      <c r="J47" s="19">
        <f t="shared" ref="J47:J66" si="34">SUM(E47:I47)</f>
        <v>60000</v>
      </c>
      <c r="K47" s="241"/>
      <c r="L47" s="348">
        <v>18000</v>
      </c>
      <c r="M47" s="22">
        <v>10000</v>
      </c>
      <c r="N47" s="22">
        <v>10000</v>
      </c>
      <c r="O47" s="22">
        <v>0</v>
      </c>
      <c r="P47" s="22">
        <v>0</v>
      </c>
      <c r="Q47" s="19">
        <f t="shared" ref="Q47:Q66" si="35">SUM(L47:P47)</f>
        <v>38000</v>
      </c>
      <c r="S47" s="356"/>
      <c r="W47" s="16"/>
      <c r="Z47" s="17"/>
      <c r="AA47" s="17"/>
      <c r="AD47" s="267"/>
      <c r="AE47" s="267"/>
      <c r="AF47" s="16"/>
    </row>
    <row r="48" spans="1:32">
      <c r="A48" s="17"/>
      <c r="B48" s="21" t="s">
        <v>280</v>
      </c>
      <c r="C48" s="18"/>
      <c r="D48" s="18"/>
      <c r="E48" s="22">
        <v>0</v>
      </c>
      <c r="F48" s="22">
        <v>1000</v>
      </c>
      <c r="G48" s="22">
        <v>1000</v>
      </c>
      <c r="H48" s="22"/>
      <c r="I48" s="22"/>
      <c r="J48" s="19">
        <f t="shared" si="34"/>
        <v>2000</v>
      </c>
      <c r="K48" s="241"/>
      <c r="L48" s="348">
        <v>0</v>
      </c>
      <c r="M48" s="22">
        <v>0</v>
      </c>
      <c r="N48" s="22">
        <v>0</v>
      </c>
      <c r="O48" s="22"/>
      <c r="P48" s="22"/>
      <c r="Q48" s="19">
        <f t="shared" si="35"/>
        <v>0</v>
      </c>
      <c r="S48" s="259"/>
      <c r="W48" s="16"/>
      <c r="Z48" s="17"/>
      <c r="AA48" s="17"/>
      <c r="AD48" s="267"/>
      <c r="AE48" s="267"/>
      <c r="AF48" s="16"/>
    </row>
    <row r="49" spans="1:32">
      <c r="A49" s="17"/>
      <c r="B49" s="21" t="s">
        <v>7</v>
      </c>
      <c r="C49" s="18"/>
      <c r="D49" s="18"/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19">
        <f t="shared" si="34"/>
        <v>0</v>
      </c>
      <c r="K49" s="241"/>
      <c r="L49" s="348">
        <v>0</v>
      </c>
      <c r="M49" s="22">
        <v>0</v>
      </c>
      <c r="N49" s="22">
        <v>0</v>
      </c>
      <c r="O49" s="22">
        <v>0</v>
      </c>
      <c r="P49" s="22">
        <v>0</v>
      </c>
      <c r="Q49" s="19">
        <f t="shared" si="35"/>
        <v>0</v>
      </c>
      <c r="S49" s="259"/>
      <c r="W49" s="16"/>
      <c r="Z49" s="17"/>
      <c r="AA49" s="17"/>
      <c r="AD49" s="267"/>
      <c r="AE49" s="267"/>
      <c r="AF49" s="16"/>
    </row>
    <row r="50" spans="1:32">
      <c r="A50" s="17"/>
      <c r="B50" s="21" t="s">
        <v>287</v>
      </c>
      <c r="C50" s="18"/>
      <c r="D50" s="18"/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19">
        <f t="shared" si="34"/>
        <v>0</v>
      </c>
      <c r="K50" s="241"/>
      <c r="L50" s="348">
        <v>0</v>
      </c>
      <c r="M50" s="22">
        <v>0</v>
      </c>
      <c r="N50" s="22">
        <v>0</v>
      </c>
      <c r="O50" s="22">
        <v>0</v>
      </c>
      <c r="P50" s="22">
        <v>0</v>
      </c>
      <c r="Q50" s="19">
        <f t="shared" si="35"/>
        <v>0</v>
      </c>
      <c r="S50" s="259"/>
      <c r="W50" s="16"/>
      <c r="Z50" s="17"/>
      <c r="AA50" s="17"/>
      <c r="AD50" s="267"/>
      <c r="AE50" s="267"/>
      <c r="AF50" s="16"/>
    </row>
    <row r="51" spans="1:32">
      <c r="A51" s="17"/>
      <c r="B51" s="185" t="s">
        <v>202</v>
      </c>
      <c r="C51" s="18"/>
      <c r="D51" s="18" t="s">
        <v>196</v>
      </c>
      <c r="E51" s="22">
        <v>250000</v>
      </c>
      <c r="F51" s="22">
        <v>250000</v>
      </c>
      <c r="G51" s="22">
        <v>250000</v>
      </c>
      <c r="H51" s="22"/>
      <c r="I51" s="22"/>
      <c r="J51" s="19">
        <f t="shared" ref="J51:J57" si="36">SUM(E51:I51)</f>
        <v>750000</v>
      </c>
      <c r="K51" s="241"/>
      <c r="L51" s="348">
        <f>+E51/0.8*0.2</f>
        <v>62500</v>
      </c>
      <c r="M51" s="22">
        <v>62500</v>
      </c>
      <c r="N51" s="22">
        <v>62500</v>
      </c>
      <c r="O51" s="22"/>
      <c r="P51" s="22"/>
      <c r="Q51" s="19">
        <f t="shared" si="35"/>
        <v>187500</v>
      </c>
      <c r="S51" s="259"/>
      <c r="W51" s="16"/>
      <c r="Z51" s="17"/>
      <c r="AA51" s="17"/>
      <c r="AD51" s="267"/>
      <c r="AE51" s="267"/>
      <c r="AF51" s="16"/>
    </row>
    <row r="52" spans="1:32">
      <c r="A52" s="17"/>
      <c r="B52" s="185" t="s">
        <v>194</v>
      </c>
      <c r="C52" s="18"/>
      <c r="D52" s="18" t="s">
        <v>197</v>
      </c>
      <c r="E52" s="22">
        <v>250000</v>
      </c>
      <c r="F52" s="22">
        <v>250000</v>
      </c>
      <c r="G52" s="22">
        <v>250000</v>
      </c>
      <c r="H52" s="22"/>
      <c r="I52" s="22"/>
      <c r="J52" s="19">
        <f t="shared" si="36"/>
        <v>750000</v>
      </c>
      <c r="K52" s="241"/>
      <c r="L52" s="348">
        <f t="shared" ref="L52:L54" si="37">+E52/0.8*0.2</f>
        <v>62500</v>
      </c>
      <c r="M52" s="22">
        <v>62500</v>
      </c>
      <c r="N52" s="22">
        <v>62500</v>
      </c>
      <c r="O52" s="22"/>
      <c r="P52" s="22"/>
      <c r="Q52" s="19">
        <f t="shared" si="35"/>
        <v>187500</v>
      </c>
      <c r="S52" s="259"/>
      <c r="W52" s="16"/>
      <c r="Z52" s="17"/>
      <c r="AA52" s="17"/>
      <c r="AD52" s="267"/>
      <c r="AE52" s="267"/>
      <c r="AF52" s="16"/>
    </row>
    <row r="53" spans="1:32">
      <c r="A53" s="17"/>
      <c r="B53" s="185" t="s">
        <v>195</v>
      </c>
      <c r="C53" s="18"/>
      <c r="D53" s="18" t="s">
        <v>198</v>
      </c>
      <c r="E53" s="22">
        <v>250000</v>
      </c>
      <c r="F53" s="22">
        <v>250000</v>
      </c>
      <c r="G53" s="22">
        <v>250000</v>
      </c>
      <c r="H53" s="22"/>
      <c r="I53" s="22"/>
      <c r="J53" s="19">
        <f t="shared" si="36"/>
        <v>750000</v>
      </c>
      <c r="K53" s="241"/>
      <c r="L53" s="348">
        <f t="shared" si="37"/>
        <v>62500</v>
      </c>
      <c r="M53" s="22">
        <v>62500</v>
      </c>
      <c r="N53" s="22">
        <v>62500</v>
      </c>
      <c r="O53" s="22"/>
      <c r="P53" s="22"/>
      <c r="Q53" s="19">
        <f t="shared" si="35"/>
        <v>187500</v>
      </c>
      <c r="S53" s="259"/>
      <c r="W53" s="16"/>
      <c r="Z53" s="17"/>
      <c r="AA53" s="17"/>
      <c r="AD53" s="267"/>
      <c r="AE53" s="267"/>
      <c r="AF53" s="16"/>
    </row>
    <row r="54" spans="1:32">
      <c r="A54" s="17"/>
      <c r="B54" s="185" t="s">
        <v>255</v>
      </c>
      <c r="C54" s="18"/>
      <c r="D54" s="18" t="s">
        <v>256</v>
      </c>
      <c r="E54" s="22">
        <v>250000</v>
      </c>
      <c r="F54" s="22">
        <v>250000</v>
      </c>
      <c r="G54" s="22">
        <v>250000</v>
      </c>
      <c r="H54" s="22"/>
      <c r="I54" s="22"/>
      <c r="J54" s="19">
        <f t="shared" si="36"/>
        <v>750000</v>
      </c>
      <c r="K54" s="241"/>
      <c r="L54" s="348">
        <f t="shared" si="37"/>
        <v>62500</v>
      </c>
      <c r="M54" s="22">
        <v>62500</v>
      </c>
      <c r="N54" s="22">
        <v>62500</v>
      </c>
      <c r="O54" s="22"/>
      <c r="P54" s="22"/>
      <c r="Q54" s="19">
        <f t="shared" si="35"/>
        <v>187500</v>
      </c>
      <c r="S54" s="259"/>
      <c r="W54" s="16"/>
      <c r="Z54" s="17"/>
      <c r="AA54" s="17"/>
      <c r="AD54" s="267"/>
      <c r="AE54" s="267"/>
      <c r="AF54" s="16"/>
    </row>
    <row r="55" spans="1:32" hidden="1">
      <c r="A55" s="17"/>
      <c r="B55" s="185" t="s">
        <v>324</v>
      </c>
      <c r="C55" s="18"/>
      <c r="D55" s="18"/>
      <c r="E55" s="22"/>
      <c r="F55" s="22"/>
      <c r="G55" s="22"/>
      <c r="H55" s="22"/>
      <c r="I55" s="22"/>
      <c r="J55" s="19"/>
      <c r="K55" s="241"/>
      <c r="L55" s="348"/>
      <c r="M55" s="22"/>
      <c r="N55" s="22"/>
      <c r="O55" s="22"/>
      <c r="P55" s="22"/>
      <c r="Q55" s="19"/>
      <c r="S55" s="259"/>
      <c r="W55" s="16"/>
      <c r="Z55" s="17"/>
      <c r="AA55" s="17"/>
      <c r="AD55" s="267"/>
      <c r="AE55" s="267"/>
      <c r="AF55" s="16"/>
    </row>
    <row r="56" spans="1:32">
      <c r="A56" s="17"/>
      <c r="B56" s="21" t="s">
        <v>6</v>
      </c>
      <c r="C56" s="48"/>
      <c r="D56" s="186">
        <v>4</v>
      </c>
      <c r="E56" s="22">
        <f>SUM(E51:E55)</f>
        <v>1000000</v>
      </c>
      <c r="F56" s="22">
        <f t="shared" ref="F56:G56" si="38">SUM(F51:F55)</f>
        <v>1000000</v>
      </c>
      <c r="G56" s="22">
        <f t="shared" si="38"/>
        <v>1000000</v>
      </c>
      <c r="H56" s="22"/>
      <c r="I56" s="22"/>
      <c r="J56" s="19">
        <f t="shared" si="36"/>
        <v>3000000</v>
      </c>
      <c r="K56" s="241"/>
      <c r="L56" s="348">
        <f>SUM(L51:L54)</f>
        <v>250000</v>
      </c>
      <c r="M56" s="22">
        <f>SUM(M51:M54)</f>
        <v>250000</v>
      </c>
      <c r="N56" s="22">
        <f>SUM(N51:N54)</f>
        <v>250000</v>
      </c>
      <c r="O56" s="22"/>
      <c r="P56" s="22"/>
      <c r="Q56" s="19">
        <f>SUM(L56:P56)</f>
        <v>750000</v>
      </c>
      <c r="S56" s="259"/>
      <c r="W56" s="16"/>
      <c r="Z56" s="17"/>
      <c r="AA56" s="17"/>
      <c r="AD56" s="267"/>
      <c r="AE56" s="267"/>
      <c r="AF56" s="16"/>
    </row>
    <row r="57" spans="1:32">
      <c r="A57" s="17"/>
      <c r="B57" s="21" t="s">
        <v>290</v>
      </c>
      <c r="C57" s="48"/>
      <c r="D57" s="184"/>
      <c r="E57" s="22"/>
      <c r="F57" s="22"/>
      <c r="G57" s="22"/>
      <c r="H57" s="22"/>
      <c r="I57" s="22"/>
      <c r="J57" s="19">
        <f t="shared" si="36"/>
        <v>0</v>
      </c>
      <c r="K57" s="241"/>
      <c r="L57" s="348"/>
      <c r="M57" s="22"/>
      <c r="N57" s="22"/>
      <c r="O57" s="22"/>
      <c r="P57" s="22"/>
      <c r="Q57" s="19">
        <f t="shared" si="35"/>
        <v>0</v>
      </c>
      <c r="S57" s="259"/>
      <c r="W57" s="16"/>
      <c r="Z57" s="17"/>
      <c r="AA57" s="17"/>
      <c r="AD57" s="267"/>
      <c r="AE57" s="267"/>
      <c r="AF57" s="16"/>
    </row>
    <row r="58" spans="1:32">
      <c r="A58" s="17"/>
      <c r="B58" s="21" t="s">
        <v>289</v>
      </c>
      <c r="C58" s="18"/>
      <c r="D58" s="18"/>
      <c r="E58" s="22">
        <f>U58*$T58</f>
        <v>48714</v>
      </c>
      <c r="F58" s="22">
        <f>V58*$T58*$AF$58</f>
        <v>51149.700000000004</v>
      </c>
      <c r="G58" s="22">
        <f>W58*$T58*$AF$58^2</f>
        <v>53707.185000000005</v>
      </c>
      <c r="H58" s="22">
        <f>X58*$T58*$AF$58^3</f>
        <v>0</v>
      </c>
      <c r="I58" s="22">
        <f>Y58*$T58*$AF$58^4</f>
        <v>0</v>
      </c>
      <c r="J58" s="19">
        <f t="shared" ref="J58:J59" si="39">SUM(E58:I58)</f>
        <v>153570.88500000001</v>
      </c>
      <c r="K58" s="241"/>
      <c r="L58" s="348">
        <f>AA58*$T58</f>
        <v>8119</v>
      </c>
      <c r="M58" s="22">
        <f>AB58*$T58*$AF$58</f>
        <v>8524.9500000000007</v>
      </c>
      <c r="N58" s="22">
        <f>AC58*$T58*$AF$58^2</f>
        <v>8951.1975000000002</v>
      </c>
      <c r="O58" s="22">
        <f>AD58*$T58*$AF$58^3</f>
        <v>0</v>
      </c>
      <c r="P58" s="22">
        <f>AE58*$T58*$AF$58^4</f>
        <v>0</v>
      </c>
      <c r="Q58" s="19">
        <f t="shared" si="35"/>
        <v>25595.147499999999</v>
      </c>
      <c r="S58" s="49">
        <v>16238</v>
      </c>
      <c r="T58" s="96">
        <f>+S58/12</f>
        <v>1353.1666666666667</v>
      </c>
      <c r="U58" s="50">
        <f>+U17+U18</f>
        <v>36</v>
      </c>
      <c r="V58" s="50">
        <f t="shared" ref="V58:Y58" si="40">+V18+V19</f>
        <v>36</v>
      </c>
      <c r="W58" s="372">
        <f t="shared" si="40"/>
        <v>36</v>
      </c>
      <c r="X58" s="373">
        <f t="shared" si="40"/>
        <v>0</v>
      </c>
      <c r="Y58" s="50">
        <f t="shared" si="40"/>
        <v>0</v>
      </c>
      <c r="Z58" s="374"/>
      <c r="AA58" s="375">
        <f>+AA17+AA18</f>
        <v>6</v>
      </c>
      <c r="AB58" s="50">
        <f t="shared" ref="AB58:AC58" si="41">+AB17+AB18</f>
        <v>6</v>
      </c>
      <c r="AC58" s="50">
        <f t="shared" si="41"/>
        <v>6</v>
      </c>
      <c r="AD58" s="267"/>
      <c r="AE58" s="267"/>
      <c r="AF58" s="328">
        <v>1.05</v>
      </c>
    </row>
    <row r="59" spans="1:32">
      <c r="A59" s="17"/>
      <c r="B59" s="308" t="s">
        <v>127</v>
      </c>
      <c r="C59" s="307"/>
      <c r="D59" s="18"/>
      <c r="E59" s="22">
        <f>U59*$T59</f>
        <v>2648</v>
      </c>
      <c r="F59" s="22">
        <f>V59*$T59*$AF$58</f>
        <v>2780.4</v>
      </c>
      <c r="G59" s="22">
        <f>W59*$T59*$AF$58^2</f>
        <v>2919.42</v>
      </c>
      <c r="H59" s="22">
        <f>X59*$T59*$AF$58^3</f>
        <v>0</v>
      </c>
      <c r="I59" s="22">
        <f>Y59*$T59*$AF$58^4</f>
        <v>0</v>
      </c>
      <c r="J59" s="19">
        <f t="shared" si="39"/>
        <v>8347.82</v>
      </c>
      <c r="K59" s="241"/>
      <c r="L59" s="348">
        <f>AA59*$T59</f>
        <v>0</v>
      </c>
      <c r="M59" s="22">
        <f>AB59*$T59*$AF$58</f>
        <v>0</v>
      </c>
      <c r="N59" s="22">
        <f>AC59*$T59*$AF$58^2</f>
        <v>0</v>
      </c>
      <c r="O59" s="22">
        <f>AD59*$T59*$AF$58^3</f>
        <v>0</v>
      </c>
      <c r="P59" s="22">
        <f>AE59*$T59*$AF$58^4</f>
        <v>0</v>
      </c>
      <c r="Q59" s="19">
        <f t="shared" si="35"/>
        <v>0</v>
      </c>
      <c r="S59" s="126">
        <v>2647.68</v>
      </c>
      <c r="T59" s="96">
        <v>2648</v>
      </c>
      <c r="U59" s="50">
        <f>IF(U19&gt;=1,1,0)</f>
        <v>1</v>
      </c>
      <c r="V59" s="50">
        <f t="shared" ref="V59:W59" si="42">IF(V19&gt;=1,1,0)</f>
        <v>1</v>
      </c>
      <c r="W59" s="372">
        <f t="shared" si="42"/>
        <v>1</v>
      </c>
      <c r="X59" s="373">
        <f t="shared" ref="X59:Y59" si="43">IF(X20&gt;=1,1,0)</f>
        <v>0</v>
      </c>
      <c r="Y59" s="50">
        <f t="shared" si="43"/>
        <v>0</v>
      </c>
      <c r="Z59" s="376"/>
      <c r="AA59" s="375">
        <f>IF(AA19&gt;=1,1,0)</f>
        <v>0</v>
      </c>
      <c r="AB59" s="50">
        <f t="shared" ref="AB59:AC59" si="44">IF(AB19&gt;=1,1,0)</f>
        <v>0</v>
      </c>
      <c r="AC59" s="50">
        <f t="shared" si="44"/>
        <v>0</v>
      </c>
      <c r="AD59" s="50">
        <f>AD17</f>
        <v>0</v>
      </c>
      <c r="AE59" s="50">
        <f>AE17</f>
        <v>0</v>
      </c>
      <c r="AF59" s="328">
        <v>1.05</v>
      </c>
    </row>
    <row r="60" spans="1:32">
      <c r="A60" s="17"/>
      <c r="B60" s="18" t="s">
        <v>48</v>
      </c>
      <c r="C60" s="18"/>
      <c r="D60" s="18"/>
      <c r="E60" s="22">
        <f>SUM(E47:E50,E56:E59)</f>
        <v>1071362</v>
      </c>
      <c r="F60" s="22">
        <f t="shared" ref="F60:I60" si="45">SUM(F47:F50,F56:F59)</f>
        <v>1074930.0999999999</v>
      </c>
      <c r="G60" s="22">
        <f t="shared" si="45"/>
        <v>1077626.605</v>
      </c>
      <c r="H60" s="22">
        <f t="shared" si="45"/>
        <v>0</v>
      </c>
      <c r="I60" s="22">
        <f t="shared" si="45"/>
        <v>0</v>
      </c>
      <c r="J60" s="19">
        <f t="shared" si="34"/>
        <v>3223918.7049999996</v>
      </c>
      <c r="K60" s="241"/>
      <c r="L60" s="348">
        <f>SUM(L47:L50,L56:L59)</f>
        <v>276119</v>
      </c>
      <c r="M60" s="22">
        <f t="shared" ref="M60:P60" si="46">SUM(M47:M50,M56:M59)</f>
        <v>268524.95</v>
      </c>
      <c r="N60" s="22">
        <f t="shared" si="46"/>
        <v>268951.19750000001</v>
      </c>
      <c r="O60" s="22">
        <f t="shared" si="46"/>
        <v>0</v>
      </c>
      <c r="P60" s="22">
        <f t="shared" si="46"/>
        <v>0</v>
      </c>
      <c r="Q60" s="19">
        <f t="shared" si="35"/>
        <v>813595.14749999996</v>
      </c>
      <c r="S60" s="259"/>
      <c r="W60" s="16"/>
      <c r="AA60" s="17"/>
      <c r="AF60" s="16"/>
    </row>
    <row r="61" spans="1:32" s="34" customFormat="1">
      <c r="A61" s="51" t="s">
        <v>5</v>
      </c>
      <c r="B61" s="31" t="s">
        <v>4</v>
      </c>
      <c r="C61" s="31"/>
      <c r="D61" s="31"/>
      <c r="E61" s="32">
        <f>E31+E35+E45+E60+E38</f>
        <v>1096690.1200000001</v>
      </c>
      <c r="F61" s="32">
        <f t="shared" ref="F61:I61" si="47">F31+F35+F45+F60+F36+F37</f>
        <v>1100868.2235999999</v>
      </c>
      <c r="G61" s="32">
        <f t="shared" si="47"/>
        <v>1104192.7023080001</v>
      </c>
      <c r="H61" s="32">
        <f t="shared" si="47"/>
        <v>0</v>
      </c>
      <c r="I61" s="32">
        <f t="shared" si="47"/>
        <v>0</v>
      </c>
      <c r="J61" s="33">
        <f t="shared" si="34"/>
        <v>3301751.0459080003</v>
      </c>
      <c r="K61" s="362"/>
      <c r="L61" s="363">
        <f>L31+L35+L45+L60+L38</f>
        <v>281146</v>
      </c>
      <c r="M61" s="32">
        <f t="shared" ref="M61:P61" si="48">M31+M35+M45+M60+M36+M37</f>
        <v>273702.95</v>
      </c>
      <c r="N61" s="32">
        <f t="shared" si="48"/>
        <v>274284.19750000001</v>
      </c>
      <c r="O61" s="32">
        <f t="shared" si="48"/>
        <v>0</v>
      </c>
      <c r="P61" s="32">
        <f t="shared" si="48"/>
        <v>0</v>
      </c>
      <c r="Q61" s="33">
        <f t="shared" si="35"/>
        <v>829133.14749999996</v>
      </c>
      <c r="S61" s="257"/>
      <c r="T61" s="66"/>
      <c r="W61" s="53"/>
      <c r="AA61" s="30"/>
      <c r="AF61" s="53"/>
    </row>
    <row r="62" spans="1:32">
      <c r="A62" s="17"/>
      <c r="B62" s="54" t="s">
        <v>291</v>
      </c>
      <c r="C62" s="54"/>
      <c r="D62" s="55"/>
      <c r="E62" s="56">
        <f>+IF(E56&gt;=25000,E61-E58-E59-E35-E56-E45+25000*D56,E61-E58-E59-E35-E45)</f>
        <v>145328.12000000011</v>
      </c>
      <c r="F62" s="56">
        <f>+F61-F58-F59-F35-F56-F45</f>
        <v>46938.123599999934</v>
      </c>
      <c r="G62" s="56">
        <f t="shared" ref="G62:I62" si="49">+G61-G58-G59-G35-G56-G45</f>
        <v>47566.097307999968</v>
      </c>
      <c r="H62" s="56">
        <f t="shared" si="49"/>
        <v>0</v>
      </c>
      <c r="I62" s="56">
        <f t="shared" si="49"/>
        <v>0</v>
      </c>
      <c r="J62" s="57">
        <f t="shared" si="34"/>
        <v>239832.34090800001</v>
      </c>
      <c r="K62" s="377"/>
      <c r="L62" s="378">
        <f>L61-L58-L59-L35-L45-L56</f>
        <v>23027</v>
      </c>
      <c r="M62" s="56">
        <f>+M61-M58-M59-M35-M56-M45</f>
        <v>15178</v>
      </c>
      <c r="N62" s="56">
        <f t="shared" ref="N62:P62" si="50">+N61-N58-N59-N35-N56-N45</f>
        <v>15333</v>
      </c>
      <c r="O62" s="56">
        <f t="shared" si="50"/>
        <v>0</v>
      </c>
      <c r="P62" s="56">
        <f t="shared" si="50"/>
        <v>0</v>
      </c>
      <c r="Q62" s="57">
        <f t="shared" si="35"/>
        <v>53538</v>
      </c>
      <c r="S62" s="259"/>
      <c r="W62" s="16"/>
      <c r="AA62" s="17"/>
      <c r="AF62" s="16"/>
    </row>
    <row r="63" spans="1:32">
      <c r="A63" s="51" t="s">
        <v>3</v>
      </c>
      <c r="B63" s="58" t="s">
        <v>2</v>
      </c>
      <c r="C63" s="58"/>
      <c r="D63" s="379"/>
      <c r="E63" s="42"/>
      <c r="F63" s="42"/>
      <c r="G63" s="42"/>
      <c r="H63" s="42"/>
      <c r="I63" s="42"/>
      <c r="J63" s="380"/>
      <c r="K63" s="370"/>
      <c r="L63" s="348"/>
      <c r="M63" s="22"/>
      <c r="N63" s="22"/>
      <c r="O63" s="381"/>
      <c r="P63" s="381"/>
      <c r="Q63" s="380"/>
      <c r="S63" s="259"/>
      <c r="W63" s="16"/>
      <c r="AA63" s="17"/>
      <c r="AF63" s="16"/>
    </row>
    <row r="64" spans="1:32">
      <c r="A64" s="17"/>
      <c r="B64" s="405" t="s">
        <v>293</v>
      </c>
      <c r="C64" s="405"/>
      <c r="D64" s="124">
        <f>VLOOKUP(B64,Fringe!$A$27:$B$35,2,0)</f>
        <v>0.55000000000000004</v>
      </c>
      <c r="E64" s="22"/>
      <c r="F64" s="22"/>
      <c r="G64" s="22"/>
      <c r="H64" s="22"/>
      <c r="I64" s="22"/>
      <c r="J64" s="60">
        <f t="shared" si="34"/>
        <v>0</v>
      </c>
      <c r="K64" s="370"/>
      <c r="L64" s="348"/>
      <c r="M64" s="22"/>
      <c r="N64" s="22"/>
      <c r="O64" s="381"/>
      <c r="P64" s="381"/>
      <c r="Q64" s="60">
        <f t="shared" si="35"/>
        <v>0</v>
      </c>
      <c r="S64" s="259"/>
      <c r="W64" s="16"/>
      <c r="AA64" s="17"/>
      <c r="AF64" s="16"/>
    </row>
    <row r="65" spans="1:32" s="34" customFormat="1" ht="15" thickBot="1">
      <c r="A65" s="30"/>
      <c r="B65" s="405" t="s">
        <v>294</v>
      </c>
      <c r="C65" s="405"/>
      <c r="D65" s="124">
        <f>VLOOKUP(B65,Fringe!$A$27:$B$35,2,0)</f>
        <v>0.56000000000000005</v>
      </c>
      <c r="E65" s="271">
        <f>+E62*$D$65</f>
        <v>81383.747200000071</v>
      </c>
      <c r="F65" s="271">
        <f>+F62*$D$65</f>
        <v>26285.349215999966</v>
      </c>
      <c r="G65" s="271">
        <f>+G62*$D$65</f>
        <v>26637.014492479986</v>
      </c>
      <c r="H65" s="271">
        <f>+H62*$D$65</f>
        <v>0</v>
      </c>
      <c r="I65" s="271">
        <f>+I62*$D$65</f>
        <v>0</v>
      </c>
      <c r="J65" s="60">
        <f t="shared" si="34"/>
        <v>134306.11090848004</v>
      </c>
      <c r="K65" s="382"/>
      <c r="L65" s="383">
        <f>+L62*$D$65</f>
        <v>12895.12</v>
      </c>
      <c r="M65" s="271">
        <f>+M62*$D$65</f>
        <v>8499.68</v>
      </c>
      <c r="N65" s="271">
        <f>+N62*$D$65</f>
        <v>8586.4800000000014</v>
      </c>
      <c r="O65" s="271">
        <f>+O62*$D$65</f>
        <v>0</v>
      </c>
      <c r="P65" s="271">
        <f>+P62*$D$65</f>
        <v>0</v>
      </c>
      <c r="Q65" s="60">
        <f t="shared" si="35"/>
        <v>29981.280000000006</v>
      </c>
      <c r="S65" s="257"/>
      <c r="T65" s="66"/>
      <c r="W65" s="53"/>
      <c r="X65" s="273"/>
      <c r="Y65" s="273"/>
      <c r="AA65" s="30"/>
      <c r="AF65" s="384"/>
    </row>
    <row r="66" spans="1:32" s="34" customFormat="1" ht="15" thickBot="1">
      <c r="A66" s="62" t="s">
        <v>1</v>
      </c>
      <c r="B66" s="63" t="s">
        <v>0</v>
      </c>
      <c r="C66" s="63"/>
      <c r="D66" s="63"/>
      <c r="E66" s="64">
        <f>E65+E61+E64</f>
        <v>1178073.8672000002</v>
      </c>
      <c r="F66" s="64">
        <f t="shared" ref="F66:I66" si="51">F65+F61+F64</f>
        <v>1127153.5728159999</v>
      </c>
      <c r="G66" s="64">
        <f t="shared" si="51"/>
        <v>1130829.7168004801</v>
      </c>
      <c r="H66" s="64">
        <f t="shared" si="51"/>
        <v>0</v>
      </c>
      <c r="I66" s="64">
        <f t="shared" si="51"/>
        <v>0</v>
      </c>
      <c r="J66" s="301">
        <f t="shared" si="34"/>
        <v>3436057.1568164802</v>
      </c>
      <c r="K66" s="385"/>
      <c r="L66" s="386">
        <f>L65+L61</f>
        <v>294041.12</v>
      </c>
      <c r="M66" s="64">
        <f>M65+M61</f>
        <v>282202.63</v>
      </c>
      <c r="N66" s="64">
        <f>N65+N61</f>
        <v>282870.67749999999</v>
      </c>
      <c r="O66" s="64">
        <f>O65+O61</f>
        <v>0</v>
      </c>
      <c r="P66" s="64">
        <f>P65+P61</f>
        <v>0</v>
      </c>
      <c r="Q66" s="387">
        <f t="shared" si="35"/>
        <v>859114.42749999999</v>
      </c>
      <c r="R66" s="65"/>
      <c r="S66" s="272"/>
      <c r="T66" s="304"/>
      <c r="U66" s="273"/>
      <c r="V66" s="273"/>
      <c r="W66" s="305"/>
      <c r="AA66" s="62"/>
      <c r="AB66" s="273"/>
      <c r="AC66" s="273"/>
      <c r="AD66" s="273"/>
      <c r="AE66" s="273"/>
      <c r="AF66" s="305"/>
    </row>
    <row r="67" spans="1:32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32">
      <c r="B68" s="194" t="s">
        <v>201</v>
      </c>
      <c r="C68" s="190" t="s">
        <v>200</v>
      </c>
      <c r="D68" s="190"/>
      <c r="E68" s="129">
        <f>(E61-E58-E59-E35-E45-E56)*$D$65+E61-E56</f>
        <v>122073.86720000021</v>
      </c>
      <c r="F68" s="129">
        <f>(F61-F58-F59-F35-F45-F56)*$D$65+F61-F56</f>
        <v>127153.57281599985</v>
      </c>
      <c r="G68" s="129">
        <f>(G61-G58-G59-G35-G45-G56)*$D$65+G61-G56</f>
        <v>130829.71680048015</v>
      </c>
      <c r="H68" s="129">
        <f t="shared" ref="H68:I68" si="52">(H61-H58-H59-H36-H46-H56)*$D$64+H61-H56</f>
        <v>0</v>
      </c>
      <c r="I68" s="129">
        <f t="shared" si="52"/>
        <v>0</v>
      </c>
      <c r="J68" s="129">
        <f t="shared" ref="J68:J74" si="53">SUM(E68:I68)</f>
        <v>380057.15681648022</v>
      </c>
      <c r="L68" s="129">
        <f>(L61-L58-L59-L35-L45-L56)*$D$65+L61-L56</f>
        <v>44041.119999999995</v>
      </c>
      <c r="M68" s="129">
        <f>(M61-M58-M59-M35-M45-M56)*$D$65+M61-M56</f>
        <v>32202.630000000005</v>
      </c>
      <c r="N68" s="129">
        <f>(N61-N58-N59-N35-N45-N56)*$D$65+N61-N56</f>
        <v>32870.677499999991</v>
      </c>
      <c r="O68" s="129">
        <f t="shared" ref="O68:P68" si="54">(O61-O58-O59-O36-O46-O56)*$D$64+O61-O56</f>
        <v>0</v>
      </c>
      <c r="P68" s="129">
        <f t="shared" si="54"/>
        <v>0</v>
      </c>
      <c r="Q68" s="129">
        <f t="shared" ref="Q68:Q74" si="55">SUM(L68:P68)</f>
        <v>109114.42749999999</v>
      </c>
    </row>
    <row r="69" spans="1:32">
      <c r="B69" s="190"/>
      <c r="C69" s="190" t="s">
        <v>203</v>
      </c>
      <c r="D69" s="190"/>
      <c r="E69" s="129">
        <f>25000*D56*D65</f>
        <v>56000.000000000007</v>
      </c>
      <c r="F69" s="129"/>
      <c r="G69" s="129"/>
      <c r="H69" s="129"/>
      <c r="I69" s="129"/>
      <c r="J69" s="129">
        <f t="shared" si="53"/>
        <v>56000.000000000007</v>
      </c>
      <c r="L69" s="129"/>
      <c r="M69" s="129"/>
      <c r="N69" s="129"/>
      <c r="O69" s="129"/>
      <c r="P69" s="129"/>
      <c r="Q69" s="129"/>
    </row>
    <row r="70" spans="1:32">
      <c r="B70" s="191" t="s">
        <v>202</v>
      </c>
      <c r="C70" s="190" t="s">
        <v>196</v>
      </c>
      <c r="D70" s="190"/>
      <c r="E70" s="129">
        <f>+E51</f>
        <v>250000</v>
      </c>
      <c r="F70" s="129">
        <f t="shared" ref="F70:G70" si="56">+F51</f>
        <v>250000</v>
      </c>
      <c r="G70" s="129">
        <f t="shared" si="56"/>
        <v>250000</v>
      </c>
      <c r="H70" s="129">
        <f t="shared" ref="H70:I72" si="57">+H52</f>
        <v>0</v>
      </c>
      <c r="I70" s="129">
        <f t="shared" si="57"/>
        <v>0</v>
      </c>
      <c r="J70" s="129">
        <f t="shared" si="53"/>
        <v>750000</v>
      </c>
      <c r="L70" s="129">
        <f>+L51</f>
        <v>62500</v>
      </c>
      <c r="M70" s="129">
        <f t="shared" ref="M70:N70" si="58">+M51</f>
        <v>62500</v>
      </c>
      <c r="N70" s="129">
        <f t="shared" si="58"/>
        <v>62500</v>
      </c>
      <c r="O70" s="129">
        <f t="shared" ref="O70:P72" si="59">+O52</f>
        <v>0</v>
      </c>
      <c r="P70" s="129">
        <f t="shared" si="59"/>
        <v>0</v>
      </c>
      <c r="Q70" s="129">
        <f t="shared" si="55"/>
        <v>187500</v>
      </c>
      <c r="S70" s="388">
        <f>24.7/55.7</f>
        <v>0.44344703770197486</v>
      </c>
    </row>
    <row r="71" spans="1:32">
      <c r="B71" s="191" t="s">
        <v>194</v>
      </c>
      <c r="C71" s="190" t="s">
        <v>197</v>
      </c>
      <c r="D71" s="190"/>
      <c r="E71" s="129">
        <f>+E52</f>
        <v>250000</v>
      </c>
      <c r="F71" s="129">
        <f t="shared" ref="F71:G73" si="60">+F52</f>
        <v>250000</v>
      </c>
      <c r="G71" s="129">
        <f t="shared" si="60"/>
        <v>250000</v>
      </c>
      <c r="H71" s="129">
        <f t="shared" si="57"/>
        <v>0</v>
      </c>
      <c r="I71" s="129">
        <f t="shared" si="57"/>
        <v>0</v>
      </c>
      <c r="J71" s="129">
        <f t="shared" si="53"/>
        <v>750000</v>
      </c>
      <c r="L71" s="129">
        <f>+L52</f>
        <v>62500</v>
      </c>
      <c r="M71" s="129">
        <f t="shared" ref="M71:N73" si="61">+M52</f>
        <v>62500</v>
      </c>
      <c r="N71" s="129">
        <f t="shared" si="61"/>
        <v>62500</v>
      </c>
      <c r="O71" s="129">
        <f t="shared" si="59"/>
        <v>0</v>
      </c>
      <c r="P71" s="129">
        <f t="shared" si="59"/>
        <v>0</v>
      </c>
      <c r="Q71" s="129">
        <f t="shared" si="55"/>
        <v>187500</v>
      </c>
    </row>
    <row r="72" spans="1:32">
      <c r="B72" s="191" t="s">
        <v>195</v>
      </c>
      <c r="C72" s="190" t="s">
        <v>198</v>
      </c>
      <c r="D72" s="190"/>
      <c r="E72" s="129">
        <f>+E53</f>
        <v>250000</v>
      </c>
      <c r="F72" s="129">
        <f t="shared" si="60"/>
        <v>250000</v>
      </c>
      <c r="G72" s="129">
        <f t="shared" si="60"/>
        <v>250000</v>
      </c>
      <c r="H72" s="129">
        <f t="shared" si="57"/>
        <v>0</v>
      </c>
      <c r="I72" s="129">
        <f t="shared" si="57"/>
        <v>0</v>
      </c>
      <c r="J72" s="129">
        <f t="shared" si="53"/>
        <v>750000</v>
      </c>
      <c r="L72" s="129">
        <f>+L53</f>
        <v>62500</v>
      </c>
      <c r="M72" s="129">
        <f t="shared" si="61"/>
        <v>62500</v>
      </c>
      <c r="N72" s="129">
        <f t="shared" si="61"/>
        <v>62500</v>
      </c>
      <c r="O72" s="129">
        <f t="shared" si="59"/>
        <v>0</v>
      </c>
      <c r="P72" s="129">
        <f t="shared" si="59"/>
        <v>0</v>
      </c>
      <c r="Q72" s="129">
        <f t="shared" si="55"/>
        <v>187500</v>
      </c>
    </row>
    <row r="73" spans="1:32">
      <c r="B73" s="191" t="s">
        <v>255</v>
      </c>
      <c r="C73" s="190" t="s">
        <v>256</v>
      </c>
      <c r="D73" s="190"/>
      <c r="E73" s="129">
        <f>+E54</f>
        <v>250000</v>
      </c>
      <c r="F73" s="129">
        <f t="shared" si="60"/>
        <v>250000</v>
      </c>
      <c r="G73" s="129">
        <f t="shared" si="60"/>
        <v>250000</v>
      </c>
      <c r="H73" s="129"/>
      <c r="I73" s="129"/>
      <c r="J73" s="129">
        <f t="shared" si="53"/>
        <v>750000</v>
      </c>
      <c r="L73" s="129">
        <f>+L54</f>
        <v>62500</v>
      </c>
      <c r="M73" s="129">
        <f t="shared" si="61"/>
        <v>62500</v>
      </c>
      <c r="N73" s="129">
        <f t="shared" si="61"/>
        <v>62500</v>
      </c>
      <c r="O73" s="129"/>
      <c r="P73" s="129"/>
      <c r="Q73" s="129">
        <f t="shared" si="55"/>
        <v>187500</v>
      </c>
    </row>
    <row r="74" spans="1:32">
      <c r="B74" s="192" t="s">
        <v>97</v>
      </c>
      <c r="C74" s="192"/>
      <c r="D74" s="192"/>
      <c r="E74" s="193">
        <f>SUM(E68:E73)</f>
        <v>1178073.8672000002</v>
      </c>
      <c r="F74" s="193">
        <f t="shared" ref="F74:G74" si="62">SUM(F68:F73)</f>
        <v>1127153.5728159999</v>
      </c>
      <c r="G74" s="193">
        <f t="shared" si="62"/>
        <v>1130829.7168004801</v>
      </c>
      <c r="H74" s="193">
        <f>SUM(H68:H72)</f>
        <v>0</v>
      </c>
      <c r="I74" s="193">
        <f>SUM(I68:I72)</f>
        <v>0</v>
      </c>
      <c r="J74" s="193">
        <f t="shared" si="53"/>
        <v>3436057.1568164802</v>
      </c>
      <c r="L74" s="193">
        <f>SUM(L68:L73)</f>
        <v>294041.12</v>
      </c>
      <c r="M74" s="193">
        <f t="shared" ref="M74:N74" si="63">SUM(M68:M73)</f>
        <v>282202.63</v>
      </c>
      <c r="N74" s="193">
        <f t="shared" si="63"/>
        <v>282870.67749999999</v>
      </c>
      <c r="O74" s="193">
        <f>SUM(O68:O72)</f>
        <v>0</v>
      </c>
      <c r="P74" s="193">
        <f>SUM(P68:P72)</f>
        <v>0</v>
      </c>
      <c r="Q74" s="193">
        <f t="shared" si="55"/>
        <v>859114.42749999999</v>
      </c>
    </row>
    <row r="75" spans="1:32">
      <c r="E75" s="389">
        <f>+E74/0.8*0.2</f>
        <v>294518.46680000005</v>
      </c>
      <c r="F75" s="389">
        <f t="shared" ref="F75:J75" si="64">+F74/0.8*0.2</f>
        <v>281788.39320399996</v>
      </c>
      <c r="G75" s="389">
        <f t="shared" si="64"/>
        <v>282707.42920012004</v>
      </c>
      <c r="H75" s="389">
        <f t="shared" si="64"/>
        <v>0</v>
      </c>
      <c r="I75" s="389">
        <f t="shared" si="64"/>
        <v>0</v>
      </c>
      <c r="J75" s="389">
        <f t="shared" si="64"/>
        <v>859014.28920412017</v>
      </c>
      <c r="L75" s="153">
        <f>+L74/(E74+L74)</f>
        <v>0.19974059265524741</v>
      </c>
      <c r="M75" s="153">
        <f t="shared" ref="M75:N75" si="65">+M74/(F74+M74)</f>
        <v>0.20023513533068354</v>
      </c>
      <c r="N75" s="153">
        <f t="shared" si="65"/>
        <v>0.20009238070557983</v>
      </c>
      <c r="O75" s="153" t="e">
        <f>+O74/(H74+O74)</f>
        <v>#DIV/0!</v>
      </c>
      <c r="P75" s="153" t="e">
        <f t="shared" ref="P75:Q75" si="66">+P74/(I74+P74)</f>
        <v>#DIV/0!</v>
      </c>
      <c r="Q75" s="153">
        <f t="shared" si="66"/>
        <v>0.20001865132396493</v>
      </c>
    </row>
    <row r="77" spans="1:32">
      <c r="B77" s="73"/>
      <c r="L77" s="58" t="s">
        <v>314</v>
      </c>
      <c r="M77" s="58"/>
      <c r="N77" s="58"/>
      <c r="O77" s="34"/>
      <c r="P77" s="34"/>
      <c r="Q77" s="393" t="s">
        <v>315</v>
      </c>
    </row>
    <row r="78" spans="1:32">
      <c r="G78" s="2" t="s">
        <v>316</v>
      </c>
      <c r="J78" s="114">
        <v>0.2</v>
      </c>
      <c r="L78" s="129">
        <f>+(L$68-L$65)*$J78</f>
        <v>6229.1999999999989</v>
      </c>
      <c r="M78" s="129">
        <f t="shared" ref="M78:N84" si="67">+(M$68-M$65)*$J78</f>
        <v>4740.5900000000011</v>
      </c>
      <c r="N78" s="129">
        <f t="shared" si="67"/>
        <v>4856.8394999999973</v>
      </c>
      <c r="Q78" s="129">
        <f>SUM(L78:P78)</f>
        <v>15826.629499999999</v>
      </c>
    </row>
    <row r="79" spans="1:32">
      <c r="G79" s="2" t="s">
        <v>317</v>
      </c>
      <c r="J79" s="114">
        <v>0.2</v>
      </c>
      <c r="L79" s="129">
        <f t="shared" ref="L79:L84" si="68">+(L$68-L$65)*$J79</f>
        <v>6229.1999999999989</v>
      </c>
      <c r="M79" s="129">
        <f t="shared" si="67"/>
        <v>4740.5900000000011</v>
      </c>
      <c r="N79" s="129">
        <f t="shared" si="67"/>
        <v>4856.8394999999973</v>
      </c>
      <c r="Q79" s="129">
        <f t="shared" ref="Q79:Q84" si="69">SUM(L79:P79)</f>
        <v>15826.629499999999</v>
      </c>
    </row>
    <row r="80" spans="1:32">
      <c r="G80" s="2" t="s">
        <v>318</v>
      </c>
      <c r="J80" s="390">
        <f>40%/4</f>
        <v>0.1</v>
      </c>
      <c r="L80" s="129">
        <f t="shared" si="68"/>
        <v>3114.5999999999995</v>
      </c>
      <c r="M80" s="129">
        <f t="shared" si="67"/>
        <v>2370.2950000000005</v>
      </c>
      <c r="N80" s="129">
        <f t="shared" si="67"/>
        <v>2428.4197499999987</v>
      </c>
      <c r="Q80" s="129">
        <f t="shared" si="69"/>
        <v>7913.3147499999995</v>
      </c>
    </row>
    <row r="81" spans="7:17">
      <c r="G81" s="2" t="s">
        <v>319</v>
      </c>
      <c r="J81" s="390">
        <f t="shared" ref="J81:J83" si="70">40%/4</f>
        <v>0.1</v>
      </c>
      <c r="L81" s="129">
        <f t="shared" si="68"/>
        <v>3114.5999999999995</v>
      </c>
      <c r="M81" s="129">
        <f t="shared" si="67"/>
        <v>2370.2950000000005</v>
      </c>
      <c r="N81" s="129">
        <f t="shared" si="67"/>
        <v>2428.4197499999987</v>
      </c>
      <c r="Q81" s="129">
        <f t="shared" si="69"/>
        <v>7913.3147499999995</v>
      </c>
    </row>
    <row r="82" spans="7:17">
      <c r="G82" s="2" t="s">
        <v>320</v>
      </c>
      <c r="J82" s="390">
        <f t="shared" si="70"/>
        <v>0.1</v>
      </c>
      <c r="L82" s="129">
        <f t="shared" si="68"/>
        <v>3114.5999999999995</v>
      </c>
      <c r="M82" s="129">
        <f t="shared" si="67"/>
        <v>2370.2950000000005</v>
      </c>
      <c r="N82" s="129">
        <f t="shared" si="67"/>
        <v>2428.4197499999987</v>
      </c>
      <c r="Q82" s="129">
        <f t="shared" si="69"/>
        <v>7913.3147499999995</v>
      </c>
    </row>
    <row r="83" spans="7:17">
      <c r="G83" s="2" t="s">
        <v>321</v>
      </c>
      <c r="J83" s="390">
        <f t="shared" si="70"/>
        <v>0.1</v>
      </c>
      <c r="L83" s="129">
        <f t="shared" si="68"/>
        <v>3114.5999999999995</v>
      </c>
      <c r="M83" s="129">
        <f t="shared" si="67"/>
        <v>2370.2950000000005</v>
      </c>
      <c r="N83" s="129">
        <f t="shared" si="67"/>
        <v>2428.4197499999987</v>
      </c>
      <c r="Q83" s="129">
        <f t="shared" si="69"/>
        <v>7913.3147499999995</v>
      </c>
    </row>
    <row r="84" spans="7:17">
      <c r="G84" s="20" t="s">
        <v>322</v>
      </c>
      <c r="H84" s="20"/>
      <c r="I84" s="20"/>
      <c r="J84" s="391">
        <v>0.2</v>
      </c>
      <c r="K84" s="20"/>
      <c r="L84" s="129">
        <f t="shared" si="68"/>
        <v>6229.1999999999989</v>
      </c>
      <c r="M84" s="129">
        <f t="shared" si="67"/>
        <v>4740.5900000000011</v>
      </c>
      <c r="N84" s="129">
        <f t="shared" si="67"/>
        <v>4856.8394999999973</v>
      </c>
      <c r="Q84" s="129">
        <f t="shared" si="69"/>
        <v>15826.629499999999</v>
      </c>
    </row>
    <row r="85" spans="7:17">
      <c r="G85" s="34" t="s">
        <v>323</v>
      </c>
      <c r="H85" s="34"/>
      <c r="I85" s="34"/>
      <c r="J85" s="392">
        <f>SUM(J78:J84)</f>
        <v>1</v>
      </c>
      <c r="K85" s="34"/>
      <c r="L85" s="65">
        <f>SUM(L78:L84)</f>
        <v>31145.999999999993</v>
      </c>
      <c r="M85" s="65">
        <f>SUM(M78:M84)</f>
        <v>23702.950000000004</v>
      </c>
      <c r="N85" s="65">
        <f>SUM(N78:N84)</f>
        <v>24284.197499999987</v>
      </c>
      <c r="O85" s="34"/>
      <c r="P85" s="34"/>
      <c r="Q85" s="65">
        <f>SUM(L85:P85)</f>
        <v>79133.147499999992</v>
      </c>
    </row>
    <row r="86" spans="7:17">
      <c r="Q86" s="28"/>
    </row>
  </sheetData>
  <mergeCells count="6">
    <mergeCell ref="B65:C65"/>
    <mergeCell ref="E4:J4"/>
    <mergeCell ref="L4:Q4"/>
    <mergeCell ref="U4:W4"/>
    <mergeCell ref="AA4:AF4"/>
    <mergeCell ref="B64:C64"/>
  </mergeCells>
  <phoneticPr fontId="24" type="noConversion"/>
  <pageMargins left="0.5" right="0.25" top="0.5" bottom="0.5" header="0.05" footer="0.05"/>
  <pageSetup scale="68" orientation="landscape" horizontalDpi="4294967293" verticalDpi="4294967293" r:id="rId1"/>
  <headerFooter alignWithMargins="0">
    <oddHeader>&amp;F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3BBA7-B7E1-4F9D-B0B6-3E20F578AB20}">
          <x14:formula1>
            <xm:f>Fringe!$A$27:$A$35</xm:f>
          </x14:formula1>
          <xm:sqref>B64:B65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513A-F24F-4789-849D-18CEE69D8AE0}">
  <dimension ref="A1:AC86"/>
  <sheetViews>
    <sheetView zoomScale="81" zoomScaleNormal="81" workbookViewId="0">
      <pane xSplit="3" ySplit="6" topLeftCell="D28" activePane="bottomRight" state="frozen"/>
      <selection activeCell="D10" sqref="D10"/>
      <selection pane="topRight" activeCell="D10" sqref="D10"/>
      <selection pane="bottomLeft" activeCell="D10" sqref="D10"/>
      <selection pane="bottomRight" activeCell="N68" sqref="N68"/>
    </sheetView>
  </sheetViews>
  <sheetFormatPr defaultColWidth="8.81640625" defaultRowHeight="14.5"/>
  <cols>
    <col min="1" max="1" width="3.81640625" style="2" customWidth="1"/>
    <col min="2" max="2" width="12.81640625" style="2" customWidth="1"/>
    <col min="3" max="3" width="11.7265625" style="2" customWidth="1"/>
    <col min="4" max="4" width="10.81640625" style="2" customWidth="1"/>
    <col min="5" max="11" width="13" style="2" customWidth="1"/>
    <col min="12" max="12" width="14.453125" style="2" customWidth="1"/>
    <col min="13" max="13" width="3.81640625" style="2" customWidth="1"/>
    <col min="14" max="14" width="10.90625" style="3" customWidth="1"/>
    <col min="15" max="15" width="9.26953125" style="3" customWidth="1"/>
    <col min="16" max="22" width="6.54296875" style="2" customWidth="1"/>
    <col min="23" max="23" width="7.81640625" style="2" bestFit="1" customWidth="1"/>
    <col min="24" max="24" width="3.81640625" style="2" customWidth="1"/>
    <col min="25" max="29" width="6.54296875" style="2" customWidth="1"/>
    <col min="30" max="30" width="11.54296875" style="2" bestFit="1" customWidth="1"/>
    <col min="31" max="31" width="11.453125" style="2" bestFit="1" customWidth="1"/>
    <col min="32" max="252" width="8.81640625" style="2"/>
    <col min="253" max="253" width="3.81640625" style="2" customWidth="1"/>
    <col min="254" max="254" width="8.81640625" style="2"/>
    <col min="255" max="255" width="14.453125" style="2" customWidth="1"/>
    <col min="256" max="256" width="38.7265625" style="2" customWidth="1"/>
    <col min="257" max="261" width="14" style="2" bestFit="1" customWidth="1"/>
    <col min="262" max="262" width="10.453125" style="2" bestFit="1" customWidth="1"/>
    <col min="263" max="263" width="8.81640625" style="2"/>
    <col min="264" max="264" width="11.26953125" style="2" bestFit="1" customWidth="1"/>
    <col min="265" max="265" width="5.453125" style="2" bestFit="1" customWidth="1"/>
    <col min="266" max="269" width="5" style="2" bestFit="1" customWidth="1"/>
    <col min="270" max="270" width="7.453125" style="2" bestFit="1" customWidth="1"/>
    <col min="271" max="271" width="10.453125" style="2" bestFit="1" customWidth="1"/>
    <col min="272" max="272" width="8.81640625" style="2"/>
    <col min="273" max="274" width="12.453125" style="2" bestFit="1" customWidth="1"/>
    <col min="275" max="275" width="14" style="2" bestFit="1" customWidth="1"/>
    <col min="276" max="508" width="8.81640625" style="2"/>
    <col min="509" max="509" width="3.81640625" style="2" customWidth="1"/>
    <col min="510" max="510" width="8.81640625" style="2"/>
    <col min="511" max="511" width="14.453125" style="2" customWidth="1"/>
    <col min="512" max="512" width="38.7265625" style="2" customWidth="1"/>
    <col min="513" max="517" width="14" style="2" bestFit="1" customWidth="1"/>
    <col min="518" max="518" width="10.453125" style="2" bestFit="1" customWidth="1"/>
    <col min="519" max="519" width="8.81640625" style="2"/>
    <col min="520" max="520" width="11.26953125" style="2" bestFit="1" customWidth="1"/>
    <col min="521" max="521" width="5.453125" style="2" bestFit="1" customWidth="1"/>
    <col min="522" max="525" width="5" style="2" bestFit="1" customWidth="1"/>
    <col min="526" max="526" width="7.453125" style="2" bestFit="1" customWidth="1"/>
    <col min="527" max="527" width="10.453125" style="2" bestFit="1" customWidth="1"/>
    <col min="528" max="528" width="8.81640625" style="2"/>
    <col min="529" max="530" width="12.453125" style="2" bestFit="1" customWidth="1"/>
    <col min="531" max="531" width="14" style="2" bestFit="1" customWidth="1"/>
    <col min="532" max="764" width="8.81640625" style="2"/>
    <col min="765" max="765" width="3.81640625" style="2" customWidth="1"/>
    <col min="766" max="766" width="8.81640625" style="2"/>
    <col min="767" max="767" width="14.453125" style="2" customWidth="1"/>
    <col min="768" max="768" width="38.7265625" style="2" customWidth="1"/>
    <col min="769" max="773" width="14" style="2" bestFit="1" customWidth="1"/>
    <col min="774" max="774" width="10.453125" style="2" bestFit="1" customWidth="1"/>
    <col min="775" max="775" width="8.81640625" style="2"/>
    <col min="776" max="776" width="11.26953125" style="2" bestFit="1" customWidth="1"/>
    <col min="777" max="777" width="5.453125" style="2" bestFit="1" customWidth="1"/>
    <col min="778" max="781" width="5" style="2" bestFit="1" customWidth="1"/>
    <col min="782" max="782" width="7.453125" style="2" bestFit="1" customWidth="1"/>
    <col min="783" max="783" width="10.453125" style="2" bestFit="1" customWidth="1"/>
    <col min="784" max="784" width="8.81640625" style="2"/>
    <col min="785" max="786" width="12.453125" style="2" bestFit="1" customWidth="1"/>
    <col min="787" max="787" width="14" style="2" bestFit="1" customWidth="1"/>
    <col min="788" max="1020" width="8.81640625" style="2"/>
    <col min="1021" max="1021" width="3.81640625" style="2" customWidth="1"/>
    <col min="1022" max="1022" width="8.81640625" style="2"/>
    <col min="1023" max="1023" width="14.453125" style="2" customWidth="1"/>
    <col min="1024" max="1024" width="38.7265625" style="2" customWidth="1"/>
    <col min="1025" max="1029" width="14" style="2" bestFit="1" customWidth="1"/>
    <col min="1030" max="1030" width="10.453125" style="2" bestFit="1" customWidth="1"/>
    <col min="1031" max="1031" width="8.81640625" style="2"/>
    <col min="1032" max="1032" width="11.26953125" style="2" bestFit="1" customWidth="1"/>
    <col min="1033" max="1033" width="5.453125" style="2" bestFit="1" customWidth="1"/>
    <col min="1034" max="1037" width="5" style="2" bestFit="1" customWidth="1"/>
    <col min="1038" max="1038" width="7.453125" style="2" bestFit="1" customWidth="1"/>
    <col min="1039" max="1039" width="10.453125" style="2" bestFit="1" customWidth="1"/>
    <col min="1040" max="1040" width="8.81640625" style="2"/>
    <col min="1041" max="1042" width="12.453125" style="2" bestFit="1" customWidth="1"/>
    <col min="1043" max="1043" width="14" style="2" bestFit="1" customWidth="1"/>
    <col min="1044" max="1276" width="8.81640625" style="2"/>
    <col min="1277" max="1277" width="3.81640625" style="2" customWidth="1"/>
    <col min="1278" max="1278" width="8.81640625" style="2"/>
    <col min="1279" max="1279" width="14.453125" style="2" customWidth="1"/>
    <col min="1280" max="1280" width="38.7265625" style="2" customWidth="1"/>
    <col min="1281" max="1285" width="14" style="2" bestFit="1" customWidth="1"/>
    <col min="1286" max="1286" width="10.453125" style="2" bestFit="1" customWidth="1"/>
    <col min="1287" max="1287" width="8.81640625" style="2"/>
    <col min="1288" max="1288" width="11.26953125" style="2" bestFit="1" customWidth="1"/>
    <col min="1289" max="1289" width="5.453125" style="2" bestFit="1" customWidth="1"/>
    <col min="1290" max="1293" width="5" style="2" bestFit="1" customWidth="1"/>
    <col min="1294" max="1294" width="7.453125" style="2" bestFit="1" customWidth="1"/>
    <col min="1295" max="1295" width="10.453125" style="2" bestFit="1" customWidth="1"/>
    <col min="1296" max="1296" width="8.81640625" style="2"/>
    <col min="1297" max="1298" width="12.453125" style="2" bestFit="1" customWidth="1"/>
    <col min="1299" max="1299" width="14" style="2" bestFit="1" customWidth="1"/>
    <col min="1300" max="1532" width="8.81640625" style="2"/>
    <col min="1533" max="1533" width="3.81640625" style="2" customWidth="1"/>
    <col min="1534" max="1534" width="8.81640625" style="2"/>
    <col min="1535" max="1535" width="14.453125" style="2" customWidth="1"/>
    <col min="1536" max="1536" width="38.7265625" style="2" customWidth="1"/>
    <col min="1537" max="1541" width="14" style="2" bestFit="1" customWidth="1"/>
    <col min="1542" max="1542" width="10.453125" style="2" bestFit="1" customWidth="1"/>
    <col min="1543" max="1543" width="8.81640625" style="2"/>
    <col min="1544" max="1544" width="11.26953125" style="2" bestFit="1" customWidth="1"/>
    <col min="1545" max="1545" width="5.453125" style="2" bestFit="1" customWidth="1"/>
    <col min="1546" max="1549" width="5" style="2" bestFit="1" customWidth="1"/>
    <col min="1550" max="1550" width="7.453125" style="2" bestFit="1" customWidth="1"/>
    <col min="1551" max="1551" width="10.453125" style="2" bestFit="1" customWidth="1"/>
    <col min="1552" max="1552" width="8.81640625" style="2"/>
    <col min="1553" max="1554" width="12.453125" style="2" bestFit="1" customWidth="1"/>
    <col min="1555" max="1555" width="14" style="2" bestFit="1" customWidth="1"/>
    <col min="1556" max="1788" width="8.81640625" style="2"/>
    <col min="1789" max="1789" width="3.81640625" style="2" customWidth="1"/>
    <col min="1790" max="1790" width="8.81640625" style="2"/>
    <col min="1791" max="1791" width="14.453125" style="2" customWidth="1"/>
    <col min="1792" max="1792" width="38.7265625" style="2" customWidth="1"/>
    <col min="1793" max="1797" width="14" style="2" bestFit="1" customWidth="1"/>
    <col min="1798" max="1798" width="10.453125" style="2" bestFit="1" customWidth="1"/>
    <col min="1799" max="1799" width="8.81640625" style="2"/>
    <col min="1800" max="1800" width="11.26953125" style="2" bestFit="1" customWidth="1"/>
    <col min="1801" max="1801" width="5.453125" style="2" bestFit="1" customWidth="1"/>
    <col min="1802" max="1805" width="5" style="2" bestFit="1" customWidth="1"/>
    <col min="1806" max="1806" width="7.453125" style="2" bestFit="1" customWidth="1"/>
    <col min="1807" max="1807" width="10.453125" style="2" bestFit="1" customWidth="1"/>
    <col min="1808" max="1808" width="8.81640625" style="2"/>
    <col min="1809" max="1810" width="12.453125" style="2" bestFit="1" customWidth="1"/>
    <col min="1811" max="1811" width="14" style="2" bestFit="1" customWidth="1"/>
    <col min="1812" max="2044" width="8.81640625" style="2"/>
    <col min="2045" max="2045" width="3.81640625" style="2" customWidth="1"/>
    <col min="2046" max="2046" width="8.81640625" style="2"/>
    <col min="2047" max="2047" width="14.453125" style="2" customWidth="1"/>
    <col min="2048" max="2048" width="38.7265625" style="2" customWidth="1"/>
    <col min="2049" max="2053" width="14" style="2" bestFit="1" customWidth="1"/>
    <col min="2054" max="2054" width="10.453125" style="2" bestFit="1" customWidth="1"/>
    <col min="2055" max="2055" width="8.81640625" style="2"/>
    <col min="2056" max="2056" width="11.26953125" style="2" bestFit="1" customWidth="1"/>
    <col min="2057" max="2057" width="5.453125" style="2" bestFit="1" customWidth="1"/>
    <col min="2058" max="2061" width="5" style="2" bestFit="1" customWidth="1"/>
    <col min="2062" max="2062" width="7.453125" style="2" bestFit="1" customWidth="1"/>
    <col min="2063" max="2063" width="10.453125" style="2" bestFit="1" customWidth="1"/>
    <col min="2064" max="2064" width="8.81640625" style="2"/>
    <col min="2065" max="2066" width="12.453125" style="2" bestFit="1" customWidth="1"/>
    <col min="2067" max="2067" width="14" style="2" bestFit="1" customWidth="1"/>
    <col min="2068" max="2300" width="8.81640625" style="2"/>
    <col min="2301" max="2301" width="3.81640625" style="2" customWidth="1"/>
    <col min="2302" max="2302" width="8.81640625" style="2"/>
    <col min="2303" max="2303" width="14.453125" style="2" customWidth="1"/>
    <col min="2304" max="2304" width="38.7265625" style="2" customWidth="1"/>
    <col min="2305" max="2309" width="14" style="2" bestFit="1" customWidth="1"/>
    <col min="2310" max="2310" width="10.453125" style="2" bestFit="1" customWidth="1"/>
    <col min="2311" max="2311" width="8.81640625" style="2"/>
    <col min="2312" max="2312" width="11.26953125" style="2" bestFit="1" customWidth="1"/>
    <col min="2313" max="2313" width="5.453125" style="2" bestFit="1" customWidth="1"/>
    <col min="2314" max="2317" width="5" style="2" bestFit="1" customWidth="1"/>
    <col min="2318" max="2318" width="7.453125" style="2" bestFit="1" customWidth="1"/>
    <col min="2319" max="2319" width="10.453125" style="2" bestFit="1" customWidth="1"/>
    <col min="2320" max="2320" width="8.81640625" style="2"/>
    <col min="2321" max="2322" width="12.453125" style="2" bestFit="1" customWidth="1"/>
    <col min="2323" max="2323" width="14" style="2" bestFit="1" customWidth="1"/>
    <col min="2324" max="2556" width="8.81640625" style="2"/>
    <col min="2557" max="2557" width="3.81640625" style="2" customWidth="1"/>
    <col min="2558" max="2558" width="8.81640625" style="2"/>
    <col min="2559" max="2559" width="14.453125" style="2" customWidth="1"/>
    <col min="2560" max="2560" width="38.7265625" style="2" customWidth="1"/>
    <col min="2561" max="2565" width="14" style="2" bestFit="1" customWidth="1"/>
    <col min="2566" max="2566" width="10.453125" style="2" bestFit="1" customWidth="1"/>
    <col min="2567" max="2567" width="8.81640625" style="2"/>
    <col min="2568" max="2568" width="11.26953125" style="2" bestFit="1" customWidth="1"/>
    <col min="2569" max="2569" width="5.453125" style="2" bestFit="1" customWidth="1"/>
    <col min="2570" max="2573" width="5" style="2" bestFit="1" customWidth="1"/>
    <col min="2574" max="2574" width="7.453125" style="2" bestFit="1" customWidth="1"/>
    <col min="2575" max="2575" width="10.453125" style="2" bestFit="1" customWidth="1"/>
    <col min="2576" max="2576" width="8.81640625" style="2"/>
    <col min="2577" max="2578" width="12.453125" style="2" bestFit="1" customWidth="1"/>
    <col min="2579" max="2579" width="14" style="2" bestFit="1" customWidth="1"/>
    <col min="2580" max="2812" width="8.81640625" style="2"/>
    <col min="2813" max="2813" width="3.81640625" style="2" customWidth="1"/>
    <col min="2814" max="2814" width="8.81640625" style="2"/>
    <col min="2815" max="2815" width="14.453125" style="2" customWidth="1"/>
    <col min="2816" max="2816" width="38.7265625" style="2" customWidth="1"/>
    <col min="2817" max="2821" width="14" style="2" bestFit="1" customWidth="1"/>
    <col min="2822" max="2822" width="10.453125" style="2" bestFit="1" customWidth="1"/>
    <col min="2823" max="2823" width="8.81640625" style="2"/>
    <col min="2824" max="2824" width="11.26953125" style="2" bestFit="1" customWidth="1"/>
    <col min="2825" max="2825" width="5.453125" style="2" bestFit="1" customWidth="1"/>
    <col min="2826" max="2829" width="5" style="2" bestFit="1" customWidth="1"/>
    <col min="2830" max="2830" width="7.453125" style="2" bestFit="1" customWidth="1"/>
    <col min="2831" max="2831" width="10.453125" style="2" bestFit="1" customWidth="1"/>
    <col min="2832" max="2832" width="8.81640625" style="2"/>
    <col min="2833" max="2834" width="12.453125" style="2" bestFit="1" customWidth="1"/>
    <col min="2835" max="2835" width="14" style="2" bestFit="1" customWidth="1"/>
    <col min="2836" max="3068" width="8.81640625" style="2"/>
    <col min="3069" max="3069" width="3.81640625" style="2" customWidth="1"/>
    <col min="3070" max="3070" width="8.81640625" style="2"/>
    <col min="3071" max="3071" width="14.453125" style="2" customWidth="1"/>
    <col min="3072" max="3072" width="38.7265625" style="2" customWidth="1"/>
    <col min="3073" max="3077" width="14" style="2" bestFit="1" customWidth="1"/>
    <col min="3078" max="3078" width="10.453125" style="2" bestFit="1" customWidth="1"/>
    <col min="3079" max="3079" width="8.81640625" style="2"/>
    <col min="3080" max="3080" width="11.26953125" style="2" bestFit="1" customWidth="1"/>
    <col min="3081" max="3081" width="5.453125" style="2" bestFit="1" customWidth="1"/>
    <col min="3082" max="3085" width="5" style="2" bestFit="1" customWidth="1"/>
    <col min="3086" max="3086" width="7.453125" style="2" bestFit="1" customWidth="1"/>
    <col min="3087" max="3087" width="10.453125" style="2" bestFit="1" customWidth="1"/>
    <col min="3088" max="3088" width="8.81640625" style="2"/>
    <col min="3089" max="3090" width="12.453125" style="2" bestFit="1" customWidth="1"/>
    <col min="3091" max="3091" width="14" style="2" bestFit="1" customWidth="1"/>
    <col min="3092" max="3324" width="8.81640625" style="2"/>
    <col min="3325" max="3325" width="3.81640625" style="2" customWidth="1"/>
    <col min="3326" max="3326" width="8.81640625" style="2"/>
    <col min="3327" max="3327" width="14.453125" style="2" customWidth="1"/>
    <col min="3328" max="3328" width="38.7265625" style="2" customWidth="1"/>
    <col min="3329" max="3333" width="14" style="2" bestFit="1" customWidth="1"/>
    <col min="3334" max="3334" width="10.453125" style="2" bestFit="1" customWidth="1"/>
    <col min="3335" max="3335" width="8.81640625" style="2"/>
    <col min="3336" max="3336" width="11.26953125" style="2" bestFit="1" customWidth="1"/>
    <col min="3337" max="3337" width="5.453125" style="2" bestFit="1" customWidth="1"/>
    <col min="3338" max="3341" width="5" style="2" bestFit="1" customWidth="1"/>
    <col min="3342" max="3342" width="7.453125" style="2" bestFit="1" customWidth="1"/>
    <col min="3343" max="3343" width="10.453125" style="2" bestFit="1" customWidth="1"/>
    <col min="3344" max="3344" width="8.81640625" style="2"/>
    <col min="3345" max="3346" width="12.453125" style="2" bestFit="1" customWidth="1"/>
    <col min="3347" max="3347" width="14" style="2" bestFit="1" customWidth="1"/>
    <col min="3348" max="3580" width="8.81640625" style="2"/>
    <col min="3581" max="3581" width="3.81640625" style="2" customWidth="1"/>
    <col min="3582" max="3582" width="8.81640625" style="2"/>
    <col min="3583" max="3583" width="14.453125" style="2" customWidth="1"/>
    <col min="3584" max="3584" width="38.7265625" style="2" customWidth="1"/>
    <col min="3585" max="3589" width="14" style="2" bestFit="1" customWidth="1"/>
    <col min="3590" max="3590" width="10.453125" style="2" bestFit="1" customWidth="1"/>
    <col min="3591" max="3591" width="8.81640625" style="2"/>
    <col min="3592" max="3592" width="11.26953125" style="2" bestFit="1" customWidth="1"/>
    <col min="3593" max="3593" width="5.453125" style="2" bestFit="1" customWidth="1"/>
    <col min="3594" max="3597" width="5" style="2" bestFit="1" customWidth="1"/>
    <col min="3598" max="3598" width="7.453125" style="2" bestFit="1" customWidth="1"/>
    <col min="3599" max="3599" width="10.453125" style="2" bestFit="1" customWidth="1"/>
    <col min="3600" max="3600" width="8.81640625" style="2"/>
    <col min="3601" max="3602" width="12.453125" style="2" bestFit="1" customWidth="1"/>
    <col min="3603" max="3603" width="14" style="2" bestFit="1" customWidth="1"/>
    <col min="3604" max="3836" width="8.81640625" style="2"/>
    <col min="3837" max="3837" width="3.81640625" style="2" customWidth="1"/>
    <col min="3838" max="3838" width="8.81640625" style="2"/>
    <col min="3839" max="3839" width="14.453125" style="2" customWidth="1"/>
    <col min="3840" max="3840" width="38.7265625" style="2" customWidth="1"/>
    <col min="3841" max="3845" width="14" style="2" bestFit="1" customWidth="1"/>
    <col min="3846" max="3846" width="10.453125" style="2" bestFit="1" customWidth="1"/>
    <col min="3847" max="3847" width="8.81640625" style="2"/>
    <col min="3848" max="3848" width="11.26953125" style="2" bestFit="1" customWidth="1"/>
    <col min="3849" max="3849" width="5.453125" style="2" bestFit="1" customWidth="1"/>
    <col min="3850" max="3853" width="5" style="2" bestFit="1" customWidth="1"/>
    <col min="3854" max="3854" width="7.453125" style="2" bestFit="1" customWidth="1"/>
    <col min="3855" max="3855" width="10.453125" style="2" bestFit="1" customWidth="1"/>
    <col min="3856" max="3856" width="8.81640625" style="2"/>
    <col min="3857" max="3858" width="12.453125" style="2" bestFit="1" customWidth="1"/>
    <col min="3859" max="3859" width="14" style="2" bestFit="1" customWidth="1"/>
    <col min="3860" max="4092" width="8.81640625" style="2"/>
    <col min="4093" max="4093" width="3.81640625" style="2" customWidth="1"/>
    <col min="4094" max="4094" width="8.81640625" style="2"/>
    <col min="4095" max="4095" width="14.453125" style="2" customWidth="1"/>
    <col min="4096" max="4096" width="38.7265625" style="2" customWidth="1"/>
    <col min="4097" max="4101" width="14" style="2" bestFit="1" customWidth="1"/>
    <col min="4102" max="4102" width="10.453125" style="2" bestFit="1" customWidth="1"/>
    <col min="4103" max="4103" width="8.81640625" style="2"/>
    <col min="4104" max="4104" width="11.26953125" style="2" bestFit="1" customWidth="1"/>
    <col min="4105" max="4105" width="5.453125" style="2" bestFit="1" customWidth="1"/>
    <col min="4106" max="4109" width="5" style="2" bestFit="1" customWidth="1"/>
    <col min="4110" max="4110" width="7.453125" style="2" bestFit="1" customWidth="1"/>
    <col min="4111" max="4111" width="10.453125" style="2" bestFit="1" customWidth="1"/>
    <col min="4112" max="4112" width="8.81640625" style="2"/>
    <col min="4113" max="4114" width="12.453125" style="2" bestFit="1" customWidth="1"/>
    <col min="4115" max="4115" width="14" style="2" bestFit="1" customWidth="1"/>
    <col min="4116" max="4348" width="8.81640625" style="2"/>
    <col min="4349" max="4349" width="3.81640625" style="2" customWidth="1"/>
    <col min="4350" max="4350" width="8.81640625" style="2"/>
    <col min="4351" max="4351" width="14.453125" style="2" customWidth="1"/>
    <col min="4352" max="4352" width="38.7265625" style="2" customWidth="1"/>
    <col min="4353" max="4357" width="14" style="2" bestFit="1" customWidth="1"/>
    <col min="4358" max="4358" width="10.453125" style="2" bestFit="1" customWidth="1"/>
    <col min="4359" max="4359" width="8.81640625" style="2"/>
    <col min="4360" max="4360" width="11.26953125" style="2" bestFit="1" customWidth="1"/>
    <col min="4361" max="4361" width="5.453125" style="2" bestFit="1" customWidth="1"/>
    <col min="4362" max="4365" width="5" style="2" bestFit="1" customWidth="1"/>
    <col min="4366" max="4366" width="7.453125" style="2" bestFit="1" customWidth="1"/>
    <col min="4367" max="4367" width="10.453125" style="2" bestFit="1" customWidth="1"/>
    <col min="4368" max="4368" width="8.81640625" style="2"/>
    <col min="4369" max="4370" width="12.453125" style="2" bestFit="1" customWidth="1"/>
    <col min="4371" max="4371" width="14" style="2" bestFit="1" customWidth="1"/>
    <col min="4372" max="4604" width="8.81640625" style="2"/>
    <col min="4605" max="4605" width="3.81640625" style="2" customWidth="1"/>
    <col min="4606" max="4606" width="8.81640625" style="2"/>
    <col min="4607" max="4607" width="14.453125" style="2" customWidth="1"/>
    <col min="4608" max="4608" width="38.7265625" style="2" customWidth="1"/>
    <col min="4609" max="4613" width="14" style="2" bestFit="1" customWidth="1"/>
    <col min="4614" max="4614" width="10.453125" style="2" bestFit="1" customWidth="1"/>
    <col min="4615" max="4615" width="8.81640625" style="2"/>
    <col min="4616" max="4616" width="11.26953125" style="2" bestFit="1" customWidth="1"/>
    <col min="4617" max="4617" width="5.453125" style="2" bestFit="1" customWidth="1"/>
    <col min="4618" max="4621" width="5" style="2" bestFit="1" customWidth="1"/>
    <col min="4622" max="4622" width="7.453125" style="2" bestFit="1" customWidth="1"/>
    <col min="4623" max="4623" width="10.453125" style="2" bestFit="1" customWidth="1"/>
    <col min="4624" max="4624" width="8.81640625" style="2"/>
    <col min="4625" max="4626" width="12.453125" style="2" bestFit="1" customWidth="1"/>
    <col min="4627" max="4627" width="14" style="2" bestFit="1" customWidth="1"/>
    <col min="4628" max="4860" width="8.81640625" style="2"/>
    <col min="4861" max="4861" width="3.81640625" style="2" customWidth="1"/>
    <col min="4862" max="4862" width="8.81640625" style="2"/>
    <col min="4863" max="4863" width="14.453125" style="2" customWidth="1"/>
    <col min="4864" max="4864" width="38.7265625" style="2" customWidth="1"/>
    <col min="4865" max="4869" width="14" style="2" bestFit="1" customWidth="1"/>
    <col min="4870" max="4870" width="10.453125" style="2" bestFit="1" customWidth="1"/>
    <col min="4871" max="4871" width="8.81640625" style="2"/>
    <col min="4872" max="4872" width="11.26953125" style="2" bestFit="1" customWidth="1"/>
    <col min="4873" max="4873" width="5.453125" style="2" bestFit="1" customWidth="1"/>
    <col min="4874" max="4877" width="5" style="2" bestFit="1" customWidth="1"/>
    <col min="4878" max="4878" width="7.453125" style="2" bestFit="1" customWidth="1"/>
    <col min="4879" max="4879" width="10.453125" style="2" bestFit="1" customWidth="1"/>
    <col min="4880" max="4880" width="8.81640625" style="2"/>
    <col min="4881" max="4882" width="12.453125" style="2" bestFit="1" customWidth="1"/>
    <col min="4883" max="4883" width="14" style="2" bestFit="1" customWidth="1"/>
    <col min="4884" max="5116" width="8.81640625" style="2"/>
    <col min="5117" max="5117" width="3.81640625" style="2" customWidth="1"/>
    <col min="5118" max="5118" width="8.81640625" style="2"/>
    <col min="5119" max="5119" width="14.453125" style="2" customWidth="1"/>
    <col min="5120" max="5120" width="38.7265625" style="2" customWidth="1"/>
    <col min="5121" max="5125" width="14" style="2" bestFit="1" customWidth="1"/>
    <col min="5126" max="5126" width="10.453125" style="2" bestFit="1" customWidth="1"/>
    <col min="5127" max="5127" width="8.81640625" style="2"/>
    <col min="5128" max="5128" width="11.26953125" style="2" bestFit="1" customWidth="1"/>
    <col min="5129" max="5129" width="5.453125" style="2" bestFit="1" customWidth="1"/>
    <col min="5130" max="5133" width="5" style="2" bestFit="1" customWidth="1"/>
    <col min="5134" max="5134" width="7.453125" style="2" bestFit="1" customWidth="1"/>
    <col min="5135" max="5135" width="10.453125" style="2" bestFit="1" customWidth="1"/>
    <col min="5136" max="5136" width="8.81640625" style="2"/>
    <col min="5137" max="5138" width="12.453125" style="2" bestFit="1" customWidth="1"/>
    <col min="5139" max="5139" width="14" style="2" bestFit="1" customWidth="1"/>
    <col min="5140" max="5372" width="8.81640625" style="2"/>
    <col min="5373" max="5373" width="3.81640625" style="2" customWidth="1"/>
    <col min="5374" max="5374" width="8.81640625" style="2"/>
    <col min="5375" max="5375" width="14.453125" style="2" customWidth="1"/>
    <col min="5376" max="5376" width="38.7265625" style="2" customWidth="1"/>
    <col min="5377" max="5381" width="14" style="2" bestFit="1" customWidth="1"/>
    <col min="5382" max="5382" width="10.453125" style="2" bestFit="1" customWidth="1"/>
    <col min="5383" max="5383" width="8.81640625" style="2"/>
    <col min="5384" max="5384" width="11.26953125" style="2" bestFit="1" customWidth="1"/>
    <col min="5385" max="5385" width="5.453125" style="2" bestFit="1" customWidth="1"/>
    <col min="5386" max="5389" width="5" style="2" bestFit="1" customWidth="1"/>
    <col min="5390" max="5390" width="7.453125" style="2" bestFit="1" customWidth="1"/>
    <col min="5391" max="5391" width="10.453125" style="2" bestFit="1" customWidth="1"/>
    <col min="5392" max="5392" width="8.81640625" style="2"/>
    <col min="5393" max="5394" width="12.453125" style="2" bestFit="1" customWidth="1"/>
    <col min="5395" max="5395" width="14" style="2" bestFit="1" customWidth="1"/>
    <col min="5396" max="5628" width="8.81640625" style="2"/>
    <col min="5629" max="5629" width="3.81640625" style="2" customWidth="1"/>
    <col min="5630" max="5630" width="8.81640625" style="2"/>
    <col min="5631" max="5631" width="14.453125" style="2" customWidth="1"/>
    <col min="5632" max="5632" width="38.7265625" style="2" customWidth="1"/>
    <col min="5633" max="5637" width="14" style="2" bestFit="1" customWidth="1"/>
    <col min="5638" max="5638" width="10.453125" style="2" bestFit="1" customWidth="1"/>
    <col min="5639" max="5639" width="8.81640625" style="2"/>
    <col min="5640" max="5640" width="11.26953125" style="2" bestFit="1" customWidth="1"/>
    <col min="5641" max="5641" width="5.453125" style="2" bestFit="1" customWidth="1"/>
    <col min="5642" max="5645" width="5" style="2" bestFit="1" customWidth="1"/>
    <col min="5646" max="5646" width="7.453125" style="2" bestFit="1" customWidth="1"/>
    <col min="5647" max="5647" width="10.453125" style="2" bestFit="1" customWidth="1"/>
    <col min="5648" max="5648" width="8.81640625" style="2"/>
    <col min="5649" max="5650" width="12.453125" style="2" bestFit="1" customWidth="1"/>
    <col min="5651" max="5651" width="14" style="2" bestFit="1" customWidth="1"/>
    <col min="5652" max="5884" width="8.81640625" style="2"/>
    <col min="5885" max="5885" width="3.81640625" style="2" customWidth="1"/>
    <col min="5886" max="5886" width="8.81640625" style="2"/>
    <col min="5887" max="5887" width="14.453125" style="2" customWidth="1"/>
    <col min="5888" max="5888" width="38.7265625" style="2" customWidth="1"/>
    <col min="5889" max="5893" width="14" style="2" bestFit="1" customWidth="1"/>
    <col min="5894" max="5894" width="10.453125" style="2" bestFit="1" customWidth="1"/>
    <col min="5895" max="5895" width="8.81640625" style="2"/>
    <col min="5896" max="5896" width="11.26953125" style="2" bestFit="1" customWidth="1"/>
    <col min="5897" max="5897" width="5.453125" style="2" bestFit="1" customWidth="1"/>
    <col min="5898" max="5901" width="5" style="2" bestFit="1" customWidth="1"/>
    <col min="5902" max="5902" width="7.453125" style="2" bestFit="1" customWidth="1"/>
    <col min="5903" max="5903" width="10.453125" style="2" bestFit="1" customWidth="1"/>
    <col min="5904" max="5904" width="8.81640625" style="2"/>
    <col min="5905" max="5906" width="12.453125" style="2" bestFit="1" customWidth="1"/>
    <col min="5907" max="5907" width="14" style="2" bestFit="1" customWidth="1"/>
    <col min="5908" max="6140" width="8.81640625" style="2"/>
    <col min="6141" max="6141" width="3.81640625" style="2" customWidth="1"/>
    <col min="6142" max="6142" width="8.81640625" style="2"/>
    <col min="6143" max="6143" width="14.453125" style="2" customWidth="1"/>
    <col min="6144" max="6144" width="38.7265625" style="2" customWidth="1"/>
    <col min="6145" max="6149" width="14" style="2" bestFit="1" customWidth="1"/>
    <col min="6150" max="6150" width="10.453125" style="2" bestFit="1" customWidth="1"/>
    <col min="6151" max="6151" width="8.81640625" style="2"/>
    <col min="6152" max="6152" width="11.26953125" style="2" bestFit="1" customWidth="1"/>
    <col min="6153" max="6153" width="5.453125" style="2" bestFit="1" customWidth="1"/>
    <col min="6154" max="6157" width="5" style="2" bestFit="1" customWidth="1"/>
    <col min="6158" max="6158" width="7.453125" style="2" bestFit="1" customWidth="1"/>
    <col min="6159" max="6159" width="10.453125" style="2" bestFit="1" customWidth="1"/>
    <col min="6160" max="6160" width="8.81640625" style="2"/>
    <col min="6161" max="6162" width="12.453125" style="2" bestFit="1" customWidth="1"/>
    <col min="6163" max="6163" width="14" style="2" bestFit="1" customWidth="1"/>
    <col min="6164" max="6396" width="8.81640625" style="2"/>
    <col min="6397" max="6397" width="3.81640625" style="2" customWidth="1"/>
    <col min="6398" max="6398" width="8.81640625" style="2"/>
    <col min="6399" max="6399" width="14.453125" style="2" customWidth="1"/>
    <col min="6400" max="6400" width="38.7265625" style="2" customWidth="1"/>
    <col min="6401" max="6405" width="14" style="2" bestFit="1" customWidth="1"/>
    <col min="6406" max="6406" width="10.453125" style="2" bestFit="1" customWidth="1"/>
    <col min="6407" max="6407" width="8.81640625" style="2"/>
    <col min="6408" max="6408" width="11.26953125" style="2" bestFit="1" customWidth="1"/>
    <col min="6409" max="6409" width="5.453125" style="2" bestFit="1" customWidth="1"/>
    <col min="6410" max="6413" width="5" style="2" bestFit="1" customWidth="1"/>
    <col min="6414" max="6414" width="7.453125" style="2" bestFit="1" customWidth="1"/>
    <col min="6415" max="6415" width="10.453125" style="2" bestFit="1" customWidth="1"/>
    <col min="6416" max="6416" width="8.81640625" style="2"/>
    <col min="6417" max="6418" width="12.453125" style="2" bestFit="1" customWidth="1"/>
    <col min="6419" max="6419" width="14" style="2" bestFit="1" customWidth="1"/>
    <col min="6420" max="6652" width="8.81640625" style="2"/>
    <col min="6653" max="6653" width="3.81640625" style="2" customWidth="1"/>
    <col min="6654" max="6654" width="8.81640625" style="2"/>
    <col min="6655" max="6655" width="14.453125" style="2" customWidth="1"/>
    <col min="6656" max="6656" width="38.7265625" style="2" customWidth="1"/>
    <col min="6657" max="6661" width="14" style="2" bestFit="1" customWidth="1"/>
    <col min="6662" max="6662" width="10.453125" style="2" bestFit="1" customWidth="1"/>
    <col min="6663" max="6663" width="8.81640625" style="2"/>
    <col min="6664" max="6664" width="11.26953125" style="2" bestFit="1" customWidth="1"/>
    <col min="6665" max="6665" width="5.453125" style="2" bestFit="1" customWidth="1"/>
    <col min="6666" max="6669" width="5" style="2" bestFit="1" customWidth="1"/>
    <col min="6670" max="6670" width="7.453125" style="2" bestFit="1" customWidth="1"/>
    <col min="6671" max="6671" width="10.453125" style="2" bestFit="1" customWidth="1"/>
    <col min="6672" max="6672" width="8.81640625" style="2"/>
    <col min="6673" max="6674" width="12.453125" style="2" bestFit="1" customWidth="1"/>
    <col min="6675" max="6675" width="14" style="2" bestFit="1" customWidth="1"/>
    <col min="6676" max="6908" width="8.81640625" style="2"/>
    <col min="6909" max="6909" width="3.81640625" style="2" customWidth="1"/>
    <col min="6910" max="6910" width="8.81640625" style="2"/>
    <col min="6911" max="6911" width="14.453125" style="2" customWidth="1"/>
    <col min="6912" max="6912" width="38.7265625" style="2" customWidth="1"/>
    <col min="6913" max="6917" width="14" style="2" bestFit="1" customWidth="1"/>
    <col min="6918" max="6918" width="10.453125" style="2" bestFit="1" customWidth="1"/>
    <col min="6919" max="6919" width="8.81640625" style="2"/>
    <col min="6920" max="6920" width="11.26953125" style="2" bestFit="1" customWidth="1"/>
    <col min="6921" max="6921" width="5.453125" style="2" bestFit="1" customWidth="1"/>
    <col min="6922" max="6925" width="5" style="2" bestFit="1" customWidth="1"/>
    <col min="6926" max="6926" width="7.453125" style="2" bestFit="1" customWidth="1"/>
    <col min="6927" max="6927" width="10.453125" style="2" bestFit="1" customWidth="1"/>
    <col min="6928" max="6928" width="8.81640625" style="2"/>
    <col min="6929" max="6930" width="12.453125" style="2" bestFit="1" customWidth="1"/>
    <col min="6931" max="6931" width="14" style="2" bestFit="1" customWidth="1"/>
    <col min="6932" max="7164" width="8.81640625" style="2"/>
    <col min="7165" max="7165" width="3.81640625" style="2" customWidth="1"/>
    <col min="7166" max="7166" width="8.81640625" style="2"/>
    <col min="7167" max="7167" width="14.453125" style="2" customWidth="1"/>
    <col min="7168" max="7168" width="38.7265625" style="2" customWidth="1"/>
    <col min="7169" max="7173" width="14" style="2" bestFit="1" customWidth="1"/>
    <col min="7174" max="7174" width="10.453125" style="2" bestFit="1" customWidth="1"/>
    <col min="7175" max="7175" width="8.81640625" style="2"/>
    <col min="7176" max="7176" width="11.26953125" style="2" bestFit="1" customWidth="1"/>
    <col min="7177" max="7177" width="5.453125" style="2" bestFit="1" customWidth="1"/>
    <col min="7178" max="7181" width="5" style="2" bestFit="1" customWidth="1"/>
    <col min="7182" max="7182" width="7.453125" style="2" bestFit="1" customWidth="1"/>
    <col min="7183" max="7183" width="10.453125" style="2" bestFit="1" customWidth="1"/>
    <col min="7184" max="7184" width="8.81640625" style="2"/>
    <col min="7185" max="7186" width="12.453125" style="2" bestFit="1" customWidth="1"/>
    <col min="7187" max="7187" width="14" style="2" bestFit="1" customWidth="1"/>
    <col min="7188" max="7420" width="8.81640625" style="2"/>
    <col min="7421" max="7421" width="3.81640625" style="2" customWidth="1"/>
    <col min="7422" max="7422" width="8.81640625" style="2"/>
    <col min="7423" max="7423" width="14.453125" style="2" customWidth="1"/>
    <col min="7424" max="7424" width="38.7265625" style="2" customWidth="1"/>
    <col min="7425" max="7429" width="14" style="2" bestFit="1" customWidth="1"/>
    <col min="7430" max="7430" width="10.453125" style="2" bestFit="1" customWidth="1"/>
    <col min="7431" max="7431" width="8.81640625" style="2"/>
    <col min="7432" max="7432" width="11.26953125" style="2" bestFit="1" customWidth="1"/>
    <col min="7433" max="7433" width="5.453125" style="2" bestFit="1" customWidth="1"/>
    <col min="7434" max="7437" width="5" style="2" bestFit="1" customWidth="1"/>
    <col min="7438" max="7438" width="7.453125" style="2" bestFit="1" customWidth="1"/>
    <col min="7439" max="7439" width="10.453125" style="2" bestFit="1" customWidth="1"/>
    <col min="7440" max="7440" width="8.81640625" style="2"/>
    <col min="7441" max="7442" width="12.453125" style="2" bestFit="1" customWidth="1"/>
    <col min="7443" max="7443" width="14" style="2" bestFit="1" customWidth="1"/>
    <col min="7444" max="7676" width="8.81640625" style="2"/>
    <col min="7677" max="7677" width="3.81640625" style="2" customWidth="1"/>
    <col min="7678" max="7678" width="8.81640625" style="2"/>
    <col min="7679" max="7679" width="14.453125" style="2" customWidth="1"/>
    <col min="7680" max="7680" width="38.7265625" style="2" customWidth="1"/>
    <col min="7681" max="7685" width="14" style="2" bestFit="1" customWidth="1"/>
    <col min="7686" max="7686" width="10.453125" style="2" bestFit="1" customWidth="1"/>
    <col min="7687" max="7687" width="8.81640625" style="2"/>
    <col min="7688" max="7688" width="11.26953125" style="2" bestFit="1" customWidth="1"/>
    <col min="7689" max="7689" width="5.453125" style="2" bestFit="1" customWidth="1"/>
    <col min="7690" max="7693" width="5" style="2" bestFit="1" customWidth="1"/>
    <col min="7694" max="7694" width="7.453125" style="2" bestFit="1" customWidth="1"/>
    <col min="7695" max="7695" width="10.453125" style="2" bestFit="1" customWidth="1"/>
    <col min="7696" max="7696" width="8.81640625" style="2"/>
    <col min="7697" max="7698" width="12.453125" style="2" bestFit="1" customWidth="1"/>
    <col min="7699" max="7699" width="14" style="2" bestFit="1" customWidth="1"/>
    <col min="7700" max="7932" width="8.81640625" style="2"/>
    <col min="7933" max="7933" width="3.81640625" style="2" customWidth="1"/>
    <col min="7934" max="7934" width="8.81640625" style="2"/>
    <col min="7935" max="7935" width="14.453125" style="2" customWidth="1"/>
    <col min="7936" max="7936" width="38.7265625" style="2" customWidth="1"/>
    <col min="7937" max="7941" width="14" style="2" bestFit="1" customWidth="1"/>
    <col min="7942" max="7942" width="10.453125" style="2" bestFit="1" customWidth="1"/>
    <col min="7943" max="7943" width="8.81640625" style="2"/>
    <col min="7944" max="7944" width="11.26953125" style="2" bestFit="1" customWidth="1"/>
    <col min="7945" max="7945" width="5.453125" style="2" bestFit="1" customWidth="1"/>
    <col min="7946" max="7949" width="5" style="2" bestFit="1" customWidth="1"/>
    <col min="7950" max="7950" width="7.453125" style="2" bestFit="1" customWidth="1"/>
    <col min="7951" max="7951" width="10.453125" style="2" bestFit="1" customWidth="1"/>
    <col min="7952" max="7952" width="8.81640625" style="2"/>
    <col min="7953" max="7954" width="12.453125" style="2" bestFit="1" customWidth="1"/>
    <col min="7955" max="7955" width="14" style="2" bestFit="1" customWidth="1"/>
    <col min="7956" max="8188" width="8.81640625" style="2"/>
    <col min="8189" max="8189" width="3.81640625" style="2" customWidth="1"/>
    <col min="8190" max="8190" width="8.81640625" style="2"/>
    <col min="8191" max="8191" width="14.453125" style="2" customWidth="1"/>
    <col min="8192" max="8192" width="38.7265625" style="2" customWidth="1"/>
    <col min="8193" max="8197" width="14" style="2" bestFit="1" customWidth="1"/>
    <col min="8198" max="8198" width="10.453125" style="2" bestFit="1" customWidth="1"/>
    <col min="8199" max="8199" width="8.81640625" style="2"/>
    <col min="8200" max="8200" width="11.26953125" style="2" bestFit="1" customWidth="1"/>
    <col min="8201" max="8201" width="5.453125" style="2" bestFit="1" customWidth="1"/>
    <col min="8202" max="8205" width="5" style="2" bestFit="1" customWidth="1"/>
    <col min="8206" max="8206" width="7.453125" style="2" bestFit="1" customWidth="1"/>
    <col min="8207" max="8207" width="10.453125" style="2" bestFit="1" customWidth="1"/>
    <col min="8208" max="8208" width="8.81640625" style="2"/>
    <col min="8209" max="8210" width="12.453125" style="2" bestFit="1" customWidth="1"/>
    <col min="8211" max="8211" width="14" style="2" bestFit="1" customWidth="1"/>
    <col min="8212" max="8444" width="8.81640625" style="2"/>
    <col min="8445" max="8445" width="3.81640625" style="2" customWidth="1"/>
    <col min="8446" max="8446" width="8.81640625" style="2"/>
    <col min="8447" max="8447" width="14.453125" style="2" customWidth="1"/>
    <col min="8448" max="8448" width="38.7265625" style="2" customWidth="1"/>
    <col min="8449" max="8453" width="14" style="2" bestFit="1" customWidth="1"/>
    <col min="8454" max="8454" width="10.453125" style="2" bestFit="1" customWidth="1"/>
    <col min="8455" max="8455" width="8.81640625" style="2"/>
    <col min="8456" max="8456" width="11.26953125" style="2" bestFit="1" customWidth="1"/>
    <col min="8457" max="8457" width="5.453125" style="2" bestFit="1" customWidth="1"/>
    <col min="8458" max="8461" width="5" style="2" bestFit="1" customWidth="1"/>
    <col min="8462" max="8462" width="7.453125" style="2" bestFit="1" customWidth="1"/>
    <col min="8463" max="8463" width="10.453125" style="2" bestFit="1" customWidth="1"/>
    <col min="8464" max="8464" width="8.81640625" style="2"/>
    <col min="8465" max="8466" width="12.453125" style="2" bestFit="1" customWidth="1"/>
    <col min="8467" max="8467" width="14" style="2" bestFit="1" customWidth="1"/>
    <col min="8468" max="8700" width="8.81640625" style="2"/>
    <col min="8701" max="8701" width="3.81640625" style="2" customWidth="1"/>
    <col min="8702" max="8702" width="8.81640625" style="2"/>
    <col min="8703" max="8703" width="14.453125" style="2" customWidth="1"/>
    <col min="8704" max="8704" width="38.7265625" style="2" customWidth="1"/>
    <col min="8705" max="8709" width="14" style="2" bestFit="1" customWidth="1"/>
    <col min="8710" max="8710" width="10.453125" style="2" bestFit="1" customWidth="1"/>
    <col min="8711" max="8711" width="8.81640625" style="2"/>
    <col min="8712" max="8712" width="11.26953125" style="2" bestFit="1" customWidth="1"/>
    <col min="8713" max="8713" width="5.453125" style="2" bestFit="1" customWidth="1"/>
    <col min="8714" max="8717" width="5" style="2" bestFit="1" customWidth="1"/>
    <col min="8718" max="8718" width="7.453125" style="2" bestFit="1" customWidth="1"/>
    <col min="8719" max="8719" width="10.453125" style="2" bestFit="1" customWidth="1"/>
    <col min="8720" max="8720" width="8.81640625" style="2"/>
    <col min="8721" max="8722" width="12.453125" style="2" bestFit="1" customWidth="1"/>
    <col min="8723" max="8723" width="14" style="2" bestFit="1" customWidth="1"/>
    <col min="8724" max="8956" width="8.81640625" style="2"/>
    <col min="8957" max="8957" width="3.81640625" style="2" customWidth="1"/>
    <col min="8958" max="8958" width="8.81640625" style="2"/>
    <col min="8959" max="8959" width="14.453125" style="2" customWidth="1"/>
    <col min="8960" max="8960" width="38.7265625" style="2" customWidth="1"/>
    <col min="8961" max="8965" width="14" style="2" bestFit="1" customWidth="1"/>
    <col min="8966" max="8966" width="10.453125" style="2" bestFit="1" customWidth="1"/>
    <col min="8967" max="8967" width="8.81640625" style="2"/>
    <col min="8968" max="8968" width="11.26953125" style="2" bestFit="1" customWidth="1"/>
    <col min="8969" max="8969" width="5.453125" style="2" bestFit="1" customWidth="1"/>
    <col min="8970" max="8973" width="5" style="2" bestFit="1" customWidth="1"/>
    <col min="8974" max="8974" width="7.453125" style="2" bestFit="1" customWidth="1"/>
    <col min="8975" max="8975" width="10.453125" style="2" bestFit="1" customWidth="1"/>
    <col min="8976" max="8976" width="8.81640625" style="2"/>
    <col min="8977" max="8978" width="12.453125" style="2" bestFit="1" customWidth="1"/>
    <col min="8979" max="8979" width="14" style="2" bestFit="1" customWidth="1"/>
    <col min="8980" max="9212" width="8.81640625" style="2"/>
    <col min="9213" max="9213" width="3.81640625" style="2" customWidth="1"/>
    <col min="9214" max="9214" width="8.81640625" style="2"/>
    <col min="9215" max="9215" width="14.453125" style="2" customWidth="1"/>
    <col min="9216" max="9216" width="38.7265625" style="2" customWidth="1"/>
    <col min="9217" max="9221" width="14" style="2" bestFit="1" customWidth="1"/>
    <col min="9222" max="9222" width="10.453125" style="2" bestFit="1" customWidth="1"/>
    <col min="9223" max="9223" width="8.81640625" style="2"/>
    <col min="9224" max="9224" width="11.26953125" style="2" bestFit="1" customWidth="1"/>
    <col min="9225" max="9225" width="5.453125" style="2" bestFit="1" customWidth="1"/>
    <col min="9226" max="9229" width="5" style="2" bestFit="1" customWidth="1"/>
    <col min="9230" max="9230" width="7.453125" style="2" bestFit="1" customWidth="1"/>
    <col min="9231" max="9231" width="10.453125" style="2" bestFit="1" customWidth="1"/>
    <col min="9232" max="9232" width="8.81640625" style="2"/>
    <col min="9233" max="9234" width="12.453125" style="2" bestFit="1" customWidth="1"/>
    <col min="9235" max="9235" width="14" style="2" bestFit="1" customWidth="1"/>
    <col min="9236" max="9468" width="8.81640625" style="2"/>
    <col min="9469" max="9469" width="3.81640625" style="2" customWidth="1"/>
    <col min="9470" max="9470" width="8.81640625" style="2"/>
    <col min="9471" max="9471" width="14.453125" style="2" customWidth="1"/>
    <col min="9472" max="9472" width="38.7265625" style="2" customWidth="1"/>
    <col min="9473" max="9477" width="14" style="2" bestFit="1" customWidth="1"/>
    <col min="9478" max="9478" width="10.453125" style="2" bestFit="1" customWidth="1"/>
    <col min="9479" max="9479" width="8.81640625" style="2"/>
    <col min="9480" max="9480" width="11.26953125" style="2" bestFit="1" customWidth="1"/>
    <col min="9481" max="9481" width="5.453125" style="2" bestFit="1" customWidth="1"/>
    <col min="9482" max="9485" width="5" style="2" bestFit="1" customWidth="1"/>
    <col min="9486" max="9486" width="7.453125" style="2" bestFit="1" customWidth="1"/>
    <col min="9487" max="9487" width="10.453125" style="2" bestFit="1" customWidth="1"/>
    <col min="9488" max="9488" width="8.81640625" style="2"/>
    <col min="9489" max="9490" width="12.453125" style="2" bestFit="1" customWidth="1"/>
    <col min="9491" max="9491" width="14" style="2" bestFit="1" customWidth="1"/>
    <col min="9492" max="9724" width="8.81640625" style="2"/>
    <col min="9725" max="9725" width="3.81640625" style="2" customWidth="1"/>
    <col min="9726" max="9726" width="8.81640625" style="2"/>
    <col min="9727" max="9727" width="14.453125" style="2" customWidth="1"/>
    <col min="9728" max="9728" width="38.7265625" style="2" customWidth="1"/>
    <col min="9729" max="9733" width="14" style="2" bestFit="1" customWidth="1"/>
    <col min="9734" max="9734" width="10.453125" style="2" bestFit="1" customWidth="1"/>
    <col min="9735" max="9735" width="8.81640625" style="2"/>
    <col min="9736" max="9736" width="11.26953125" style="2" bestFit="1" customWidth="1"/>
    <col min="9737" max="9737" width="5.453125" style="2" bestFit="1" customWidth="1"/>
    <col min="9738" max="9741" width="5" style="2" bestFit="1" customWidth="1"/>
    <col min="9742" max="9742" width="7.453125" style="2" bestFit="1" customWidth="1"/>
    <col min="9743" max="9743" width="10.453125" style="2" bestFit="1" customWidth="1"/>
    <col min="9744" max="9744" width="8.81640625" style="2"/>
    <col min="9745" max="9746" width="12.453125" style="2" bestFit="1" customWidth="1"/>
    <col min="9747" max="9747" width="14" style="2" bestFit="1" customWidth="1"/>
    <col min="9748" max="9980" width="8.81640625" style="2"/>
    <col min="9981" max="9981" width="3.81640625" style="2" customWidth="1"/>
    <col min="9982" max="9982" width="8.81640625" style="2"/>
    <col min="9983" max="9983" width="14.453125" style="2" customWidth="1"/>
    <col min="9984" max="9984" width="38.7265625" style="2" customWidth="1"/>
    <col min="9985" max="9989" width="14" style="2" bestFit="1" customWidth="1"/>
    <col min="9990" max="9990" width="10.453125" style="2" bestFit="1" customWidth="1"/>
    <col min="9991" max="9991" width="8.81640625" style="2"/>
    <col min="9992" max="9992" width="11.26953125" style="2" bestFit="1" customWidth="1"/>
    <col min="9993" max="9993" width="5.453125" style="2" bestFit="1" customWidth="1"/>
    <col min="9994" max="9997" width="5" style="2" bestFit="1" customWidth="1"/>
    <col min="9998" max="9998" width="7.453125" style="2" bestFit="1" customWidth="1"/>
    <col min="9999" max="9999" width="10.453125" style="2" bestFit="1" customWidth="1"/>
    <col min="10000" max="10000" width="8.81640625" style="2"/>
    <col min="10001" max="10002" width="12.453125" style="2" bestFit="1" customWidth="1"/>
    <col min="10003" max="10003" width="14" style="2" bestFit="1" customWidth="1"/>
    <col min="10004" max="10236" width="8.81640625" style="2"/>
    <col min="10237" max="10237" width="3.81640625" style="2" customWidth="1"/>
    <col min="10238" max="10238" width="8.81640625" style="2"/>
    <col min="10239" max="10239" width="14.453125" style="2" customWidth="1"/>
    <col min="10240" max="10240" width="38.7265625" style="2" customWidth="1"/>
    <col min="10241" max="10245" width="14" style="2" bestFit="1" customWidth="1"/>
    <col min="10246" max="10246" width="10.453125" style="2" bestFit="1" customWidth="1"/>
    <col min="10247" max="10247" width="8.81640625" style="2"/>
    <col min="10248" max="10248" width="11.26953125" style="2" bestFit="1" customWidth="1"/>
    <col min="10249" max="10249" width="5.453125" style="2" bestFit="1" customWidth="1"/>
    <col min="10250" max="10253" width="5" style="2" bestFit="1" customWidth="1"/>
    <col min="10254" max="10254" width="7.453125" style="2" bestFit="1" customWidth="1"/>
    <col min="10255" max="10255" width="10.453125" style="2" bestFit="1" customWidth="1"/>
    <col min="10256" max="10256" width="8.81640625" style="2"/>
    <col min="10257" max="10258" width="12.453125" style="2" bestFit="1" customWidth="1"/>
    <col min="10259" max="10259" width="14" style="2" bestFit="1" customWidth="1"/>
    <col min="10260" max="10492" width="8.81640625" style="2"/>
    <col min="10493" max="10493" width="3.81640625" style="2" customWidth="1"/>
    <col min="10494" max="10494" width="8.81640625" style="2"/>
    <col min="10495" max="10495" width="14.453125" style="2" customWidth="1"/>
    <col min="10496" max="10496" width="38.7265625" style="2" customWidth="1"/>
    <col min="10497" max="10501" width="14" style="2" bestFit="1" customWidth="1"/>
    <col min="10502" max="10502" width="10.453125" style="2" bestFit="1" customWidth="1"/>
    <col min="10503" max="10503" width="8.81640625" style="2"/>
    <col min="10504" max="10504" width="11.26953125" style="2" bestFit="1" customWidth="1"/>
    <col min="10505" max="10505" width="5.453125" style="2" bestFit="1" customWidth="1"/>
    <col min="10506" max="10509" width="5" style="2" bestFit="1" customWidth="1"/>
    <col min="10510" max="10510" width="7.453125" style="2" bestFit="1" customWidth="1"/>
    <col min="10511" max="10511" width="10.453125" style="2" bestFit="1" customWidth="1"/>
    <col min="10512" max="10512" width="8.81640625" style="2"/>
    <col min="10513" max="10514" width="12.453125" style="2" bestFit="1" customWidth="1"/>
    <col min="10515" max="10515" width="14" style="2" bestFit="1" customWidth="1"/>
    <col min="10516" max="10748" width="8.81640625" style="2"/>
    <col min="10749" max="10749" width="3.81640625" style="2" customWidth="1"/>
    <col min="10750" max="10750" width="8.81640625" style="2"/>
    <col min="10751" max="10751" width="14.453125" style="2" customWidth="1"/>
    <col min="10752" max="10752" width="38.7265625" style="2" customWidth="1"/>
    <col min="10753" max="10757" width="14" style="2" bestFit="1" customWidth="1"/>
    <col min="10758" max="10758" width="10.453125" style="2" bestFit="1" customWidth="1"/>
    <col min="10759" max="10759" width="8.81640625" style="2"/>
    <col min="10760" max="10760" width="11.26953125" style="2" bestFit="1" customWidth="1"/>
    <col min="10761" max="10761" width="5.453125" style="2" bestFit="1" customWidth="1"/>
    <col min="10762" max="10765" width="5" style="2" bestFit="1" customWidth="1"/>
    <col min="10766" max="10766" width="7.453125" style="2" bestFit="1" customWidth="1"/>
    <col min="10767" max="10767" width="10.453125" style="2" bestFit="1" customWidth="1"/>
    <col min="10768" max="10768" width="8.81640625" style="2"/>
    <col min="10769" max="10770" width="12.453125" style="2" bestFit="1" customWidth="1"/>
    <col min="10771" max="10771" width="14" style="2" bestFit="1" customWidth="1"/>
    <col min="10772" max="11004" width="8.81640625" style="2"/>
    <col min="11005" max="11005" width="3.81640625" style="2" customWidth="1"/>
    <col min="11006" max="11006" width="8.81640625" style="2"/>
    <col min="11007" max="11007" width="14.453125" style="2" customWidth="1"/>
    <col min="11008" max="11008" width="38.7265625" style="2" customWidth="1"/>
    <col min="11009" max="11013" width="14" style="2" bestFit="1" customWidth="1"/>
    <col min="11014" max="11014" width="10.453125" style="2" bestFit="1" customWidth="1"/>
    <col min="11015" max="11015" width="8.81640625" style="2"/>
    <col min="11016" max="11016" width="11.26953125" style="2" bestFit="1" customWidth="1"/>
    <col min="11017" max="11017" width="5.453125" style="2" bestFit="1" customWidth="1"/>
    <col min="11018" max="11021" width="5" style="2" bestFit="1" customWidth="1"/>
    <col min="11022" max="11022" width="7.453125" style="2" bestFit="1" customWidth="1"/>
    <col min="11023" max="11023" width="10.453125" style="2" bestFit="1" customWidth="1"/>
    <col min="11024" max="11024" width="8.81640625" style="2"/>
    <col min="11025" max="11026" width="12.453125" style="2" bestFit="1" customWidth="1"/>
    <col min="11027" max="11027" width="14" style="2" bestFit="1" customWidth="1"/>
    <col min="11028" max="11260" width="8.81640625" style="2"/>
    <col min="11261" max="11261" width="3.81640625" style="2" customWidth="1"/>
    <col min="11262" max="11262" width="8.81640625" style="2"/>
    <col min="11263" max="11263" width="14.453125" style="2" customWidth="1"/>
    <col min="11264" max="11264" width="38.7265625" style="2" customWidth="1"/>
    <col min="11265" max="11269" width="14" style="2" bestFit="1" customWidth="1"/>
    <col min="11270" max="11270" width="10.453125" style="2" bestFit="1" customWidth="1"/>
    <col min="11271" max="11271" width="8.81640625" style="2"/>
    <col min="11272" max="11272" width="11.26953125" style="2" bestFit="1" customWidth="1"/>
    <col min="11273" max="11273" width="5.453125" style="2" bestFit="1" customWidth="1"/>
    <col min="11274" max="11277" width="5" style="2" bestFit="1" customWidth="1"/>
    <col min="11278" max="11278" width="7.453125" style="2" bestFit="1" customWidth="1"/>
    <col min="11279" max="11279" width="10.453125" style="2" bestFit="1" customWidth="1"/>
    <col min="11280" max="11280" width="8.81640625" style="2"/>
    <col min="11281" max="11282" width="12.453125" style="2" bestFit="1" customWidth="1"/>
    <col min="11283" max="11283" width="14" style="2" bestFit="1" customWidth="1"/>
    <col min="11284" max="11516" width="8.81640625" style="2"/>
    <col min="11517" max="11517" width="3.81640625" style="2" customWidth="1"/>
    <col min="11518" max="11518" width="8.81640625" style="2"/>
    <col min="11519" max="11519" width="14.453125" style="2" customWidth="1"/>
    <col min="11520" max="11520" width="38.7265625" style="2" customWidth="1"/>
    <col min="11521" max="11525" width="14" style="2" bestFit="1" customWidth="1"/>
    <col min="11526" max="11526" width="10.453125" style="2" bestFit="1" customWidth="1"/>
    <col min="11527" max="11527" width="8.81640625" style="2"/>
    <col min="11528" max="11528" width="11.26953125" style="2" bestFit="1" customWidth="1"/>
    <col min="11529" max="11529" width="5.453125" style="2" bestFit="1" customWidth="1"/>
    <col min="11530" max="11533" width="5" style="2" bestFit="1" customWidth="1"/>
    <col min="11534" max="11534" width="7.453125" style="2" bestFit="1" customWidth="1"/>
    <col min="11535" max="11535" width="10.453125" style="2" bestFit="1" customWidth="1"/>
    <col min="11536" max="11536" width="8.81640625" style="2"/>
    <col min="11537" max="11538" width="12.453125" style="2" bestFit="1" customWidth="1"/>
    <col min="11539" max="11539" width="14" style="2" bestFit="1" customWidth="1"/>
    <col min="11540" max="11772" width="8.81640625" style="2"/>
    <col min="11773" max="11773" width="3.81640625" style="2" customWidth="1"/>
    <col min="11774" max="11774" width="8.81640625" style="2"/>
    <col min="11775" max="11775" width="14.453125" style="2" customWidth="1"/>
    <col min="11776" max="11776" width="38.7265625" style="2" customWidth="1"/>
    <col min="11777" max="11781" width="14" style="2" bestFit="1" customWidth="1"/>
    <col min="11782" max="11782" width="10.453125" style="2" bestFit="1" customWidth="1"/>
    <col min="11783" max="11783" width="8.81640625" style="2"/>
    <col min="11784" max="11784" width="11.26953125" style="2" bestFit="1" customWidth="1"/>
    <col min="11785" max="11785" width="5.453125" style="2" bestFit="1" customWidth="1"/>
    <col min="11786" max="11789" width="5" style="2" bestFit="1" customWidth="1"/>
    <col min="11790" max="11790" width="7.453125" style="2" bestFit="1" customWidth="1"/>
    <col min="11791" max="11791" width="10.453125" style="2" bestFit="1" customWidth="1"/>
    <col min="11792" max="11792" width="8.81640625" style="2"/>
    <col min="11793" max="11794" width="12.453125" style="2" bestFit="1" customWidth="1"/>
    <col min="11795" max="11795" width="14" style="2" bestFit="1" customWidth="1"/>
    <col min="11796" max="12028" width="8.81640625" style="2"/>
    <col min="12029" max="12029" width="3.81640625" style="2" customWidth="1"/>
    <col min="12030" max="12030" width="8.81640625" style="2"/>
    <col min="12031" max="12031" width="14.453125" style="2" customWidth="1"/>
    <col min="12032" max="12032" width="38.7265625" style="2" customWidth="1"/>
    <col min="12033" max="12037" width="14" style="2" bestFit="1" customWidth="1"/>
    <col min="12038" max="12038" width="10.453125" style="2" bestFit="1" customWidth="1"/>
    <col min="12039" max="12039" width="8.81640625" style="2"/>
    <col min="12040" max="12040" width="11.26953125" style="2" bestFit="1" customWidth="1"/>
    <col min="12041" max="12041" width="5.453125" style="2" bestFit="1" customWidth="1"/>
    <col min="12042" max="12045" width="5" style="2" bestFit="1" customWidth="1"/>
    <col min="12046" max="12046" width="7.453125" style="2" bestFit="1" customWidth="1"/>
    <col min="12047" max="12047" width="10.453125" style="2" bestFit="1" customWidth="1"/>
    <col min="12048" max="12048" width="8.81640625" style="2"/>
    <col min="12049" max="12050" width="12.453125" style="2" bestFit="1" customWidth="1"/>
    <col min="12051" max="12051" width="14" style="2" bestFit="1" customWidth="1"/>
    <col min="12052" max="12284" width="8.81640625" style="2"/>
    <col min="12285" max="12285" width="3.81640625" style="2" customWidth="1"/>
    <col min="12286" max="12286" width="8.81640625" style="2"/>
    <col min="12287" max="12287" width="14.453125" style="2" customWidth="1"/>
    <col min="12288" max="12288" width="38.7265625" style="2" customWidth="1"/>
    <col min="12289" max="12293" width="14" style="2" bestFit="1" customWidth="1"/>
    <col min="12294" max="12294" width="10.453125" style="2" bestFit="1" customWidth="1"/>
    <col min="12295" max="12295" width="8.81640625" style="2"/>
    <col min="12296" max="12296" width="11.26953125" style="2" bestFit="1" customWidth="1"/>
    <col min="12297" max="12297" width="5.453125" style="2" bestFit="1" customWidth="1"/>
    <col min="12298" max="12301" width="5" style="2" bestFit="1" customWidth="1"/>
    <col min="12302" max="12302" width="7.453125" style="2" bestFit="1" customWidth="1"/>
    <col min="12303" max="12303" width="10.453125" style="2" bestFit="1" customWidth="1"/>
    <col min="12304" max="12304" width="8.81640625" style="2"/>
    <col min="12305" max="12306" width="12.453125" style="2" bestFit="1" customWidth="1"/>
    <col min="12307" max="12307" width="14" style="2" bestFit="1" customWidth="1"/>
    <col min="12308" max="12540" width="8.81640625" style="2"/>
    <col min="12541" max="12541" width="3.81640625" style="2" customWidth="1"/>
    <col min="12542" max="12542" width="8.81640625" style="2"/>
    <col min="12543" max="12543" width="14.453125" style="2" customWidth="1"/>
    <col min="12544" max="12544" width="38.7265625" style="2" customWidth="1"/>
    <col min="12545" max="12549" width="14" style="2" bestFit="1" customWidth="1"/>
    <col min="12550" max="12550" width="10.453125" style="2" bestFit="1" customWidth="1"/>
    <col min="12551" max="12551" width="8.81640625" style="2"/>
    <col min="12552" max="12552" width="11.26953125" style="2" bestFit="1" customWidth="1"/>
    <col min="12553" max="12553" width="5.453125" style="2" bestFit="1" customWidth="1"/>
    <col min="12554" max="12557" width="5" style="2" bestFit="1" customWidth="1"/>
    <col min="12558" max="12558" width="7.453125" style="2" bestFit="1" customWidth="1"/>
    <col min="12559" max="12559" width="10.453125" style="2" bestFit="1" customWidth="1"/>
    <col min="12560" max="12560" width="8.81640625" style="2"/>
    <col min="12561" max="12562" width="12.453125" style="2" bestFit="1" customWidth="1"/>
    <col min="12563" max="12563" width="14" style="2" bestFit="1" customWidth="1"/>
    <col min="12564" max="12796" width="8.81640625" style="2"/>
    <col min="12797" max="12797" width="3.81640625" style="2" customWidth="1"/>
    <col min="12798" max="12798" width="8.81640625" style="2"/>
    <col min="12799" max="12799" width="14.453125" style="2" customWidth="1"/>
    <col min="12800" max="12800" width="38.7265625" style="2" customWidth="1"/>
    <col min="12801" max="12805" width="14" style="2" bestFit="1" customWidth="1"/>
    <col min="12806" max="12806" width="10.453125" style="2" bestFit="1" customWidth="1"/>
    <col min="12807" max="12807" width="8.81640625" style="2"/>
    <col min="12808" max="12808" width="11.26953125" style="2" bestFit="1" customWidth="1"/>
    <col min="12809" max="12809" width="5.453125" style="2" bestFit="1" customWidth="1"/>
    <col min="12810" max="12813" width="5" style="2" bestFit="1" customWidth="1"/>
    <col min="12814" max="12814" width="7.453125" style="2" bestFit="1" customWidth="1"/>
    <col min="12815" max="12815" width="10.453125" style="2" bestFit="1" customWidth="1"/>
    <col min="12816" max="12816" width="8.81640625" style="2"/>
    <col min="12817" max="12818" width="12.453125" style="2" bestFit="1" customWidth="1"/>
    <col min="12819" max="12819" width="14" style="2" bestFit="1" customWidth="1"/>
    <col min="12820" max="13052" width="8.81640625" style="2"/>
    <col min="13053" max="13053" width="3.81640625" style="2" customWidth="1"/>
    <col min="13054" max="13054" width="8.81640625" style="2"/>
    <col min="13055" max="13055" width="14.453125" style="2" customWidth="1"/>
    <col min="13056" max="13056" width="38.7265625" style="2" customWidth="1"/>
    <col min="13057" max="13061" width="14" style="2" bestFit="1" customWidth="1"/>
    <col min="13062" max="13062" width="10.453125" style="2" bestFit="1" customWidth="1"/>
    <col min="13063" max="13063" width="8.81640625" style="2"/>
    <col min="13064" max="13064" width="11.26953125" style="2" bestFit="1" customWidth="1"/>
    <col min="13065" max="13065" width="5.453125" style="2" bestFit="1" customWidth="1"/>
    <col min="13066" max="13069" width="5" style="2" bestFit="1" customWidth="1"/>
    <col min="13070" max="13070" width="7.453125" style="2" bestFit="1" customWidth="1"/>
    <col min="13071" max="13071" width="10.453125" style="2" bestFit="1" customWidth="1"/>
    <col min="13072" max="13072" width="8.81640625" style="2"/>
    <col min="13073" max="13074" width="12.453125" style="2" bestFit="1" customWidth="1"/>
    <col min="13075" max="13075" width="14" style="2" bestFit="1" customWidth="1"/>
    <col min="13076" max="13308" width="8.81640625" style="2"/>
    <col min="13309" max="13309" width="3.81640625" style="2" customWidth="1"/>
    <col min="13310" max="13310" width="8.81640625" style="2"/>
    <col min="13311" max="13311" width="14.453125" style="2" customWidth="1"/>
    <col min="13312" max="13312" width="38.7265625" style="2" customWidth="1"/>
    <col min="13313" max="13317" width="14" style="2" bestFit="1" customWidth="1"/>
    <col min="13318" max="13318" width="10.453125" style="2" bestFit="1" customWidth="1"/>
    <col min="13319" max="13319" width="8.81640625" style="2"/>
    <col min="13320" max="13320" width="11.26953125" style="2" bestFit="1" customWidth="1"/>
    <col min="13321" max="13321" width="5.453125" style="2" bestFit="1" customWidth="1"/>
    <col min="13322" max="13325" width="5" style="2" bestFit="1" customWidth="1"/>
    <col min="13326" max="13326" width="7.453125" style="2" bestFit="1" customWidth="1"/>
    <col min="13327" max="13327" width="10.453125" style="2" bestFit="1" customWidth="1"/>
    <col min="13328" max="13328" width="8.81640625" style="2"/>
    <col min="13329" max="13330" width="12.453125" style="2" bestFit="1" customWidth="1"/>
    <col min="13331" max="13331" width="14" style="2" bestFit="1" customWidth="1"/>
    <col min="13332" max="13564" width="8.81640625" style="2"/>
    <col min="13565" max="13565" width="3.81640625" style="2" customWidth="1"/>
    <col min="13566" max="13566" width="8.81640625" style="2"/>
    <col min="13567" max="13567" width="14.453125" style="2" customWidth="1"/>
    <col min="13568" max="13568" width="38.7265625" style="2" customWidth="1"/>
    <col min="13569" max="13573" width="14" style="2" bestFit="1" customWidth="1"/>
    <col min="13574" max="13574" width="10.453125" style="2" bestFit="1" customWidth="1"/>
    <col min="13575" max="13575" width="8.81640625" style="2"/>
    <col min="13576" max="13576" width="11.26953125" style="2" bestFit="1" customWidth="1"/>
    <col min="13577" max="13577" width="5.453125" style="2" bestFit="1" customWidth="1"/>
    <col min="13578" max="13581" width="5" style="2" bestFit="1" customWidth="1"/>
    <col min="13582" max="13582" width="7.453125" style="2" bestFit="1" customWidth="1"/>
    <col min="13583" max="13583" width="10.453125" style="2" bestFit="1" customWidth="1"/>
    <col min="13584" max="13584" width="8.81640625" style="2"/>
    <col min="13585" max="13586" width="12.453125" style="2" bestFit="1" customWidth="1"/>
    <col min="13587" max="13587" width="14" style="2" bestFit="1" customWidth="1"/>
    <col min="13588" max="13820" width="8.81640625" style="2"/>
    <col min="13821" max="13821" width="3.81640625" style="2" customWidth="1"/>
    <col min="13822" max="13822" width="8.81640625" style="2"/>
    <col min="13823" max="13823" width="14.453125" style="2" customWidth="1"/>
    <col min="13824" max="13824" width="38.7265625" style="2" customWidth="1"/>
    <col min="13825" max="13829" width="14" style="2" bestFit="1" customWidth="1"/>
    <col min="13830" max="13830" width="10.453125" style="2" bestFit="1" customWidth="1"/>
    <col min="13831" max="13831" width="8.81640625" style="2"/>
    <col min="13832" max="13832" width="11.26953125" style="2" bestFit="1" customWidth="1"/>
    <col min="13833" max="13833" width="5.453125" style="2" bestFit="1" customWidth="1"/>
    <col min="13834" max="13837" width="5" style="2" bestFit="1" customWidth="1"/>
    <col min="13838" max="13838" width="7.453125" style="2" bestFit="1" customWidth="1"/>
    <col min="13839" max="13839" width="10.453125" style="2" bestFit="1" customWidth="1"/>
    <col min="13840" max="13840" width="8.81640625" style="2"/>
    <col min="13841" max="13842" width="12.453125" style="2" bestFit="1" customWidth="1"/>
    <col min="13843" max="13843" width="14" style="2" bestFit="1" customWidth="1"/>
    <col min="13844" max="14076" width="8.81640625" style="2"/>
    <col min="14077" max="14077" width="3.81640625" style="2" customWidth="1"/>
    <col min="14078" max="14078" width="8.81640625" style="2"/>
    <col min="14079" max="14079" width="14.453125" style="2" customWidth="1"/>
    <col min="14080" max="14080" width="38.7265625" style="2" customWidth="1"/>
    <col min="14081" max="14085" width="14" style="2" bestFit="1" customWidth="1"/>
    <col min="14086" max="14086" width="10.453125" style="2" bestFit="1" customWidth="1"/>
    <col min="14087" max="14087" width="8.81640625" style="2"/>
    <col min="14088" max="14088" width="11.26953125" style="2" bestFit="1" customWidth="1"/>
    <col min="14089" max="14089" width="5.453125" style="2" bestFit="1" customWidth="1"/>
    <col min="14090" max="14093" width="5" style="2" bestFit="1" customWidth="1"/>
    <col min="14094" max="14094" width="7.453125" style="2" bestFit="1" customWidth="1"/>
    <col min="14095" max="14095" width="10.453125" style="2" bestFit="1" customWidth="1"/>
    <col min="14096" max="14096" width="8.81640625" style="2"/>
    <col min="14097" max="14098" width="12.453125" style="2" bestFit="1" customWidth="1"/>
    <col min="14099" max="14099" width="14" style="2" bestFit="1" customWidth="1"/>
    <col min="14100" max="14332" width="8.81640625" style="2"/>
    <col min="14333" max="14333" width="3.81640625" style="2" customWidth="1"/>
    <col min="14334" max="14334" width="8.81640625" style="2"/>
    <col min="14335" max="14335" width="14.453125" style="2" customWidth="1"/>
    <col min="14336" max="14336" width="38.7265625" style="2" customWidth="1"/>
    <col min="14337" max="14341" width="14" style="2" bestFit="1" customWidth="1"/>
    <col min="14342" max="14342" width="10.453125" style="2" bestFit="1" customWidth="1"/>
    <col min="14343" max="14343" width="8.81640625" style="2"/>
    <col min="14344" max="14344" width="11.26953125" style="2" bestFit="1" customWidth="1"/>
    <col min="14345" max="14345" width="5.453125" style="2" bestFit="1" customWidth="1"/>
    <col min="14346" max="14349" width="5" style="2" bestFit="1" customWidth="1"/>
    <col min="14350" max="14350" width="7.453125" style="2" bestFit="1" customWidth="1"/>
    <col min="14351" max="14351" width="10.453125" style="2" bestFit="1" customWidth="1"/>
    <col min="14352" max="14352" width="8.81640625" style="2"/>
    <col min="14353" max="14354" width="12.453125" style="2" bestFit="1" customWidth="1"/>
    <col min="14355" max="14355" width="14" style="2" bestFit="1" customWidth="1"/>
    <col min="14356" max="14588" width="8.81640625" style="2"/>
    <col min="14589" max="14589" width="3.81640625" style="2" customWidth="1"/>
    <col min="14590" max="14590" width="8.81640625" style="2"/>
    <col min="14591" max="14591" width="14.453125" style="2" customWidth="1"/>
    <col min="14592" max="14592" width="38.7265625" style="2" customWidth="1"/>
    <col min="14593" max="14597" width="14" style="2" bestFit="1" customWidth="1"/>
    <col min="14598" max="14598" width="10.453125" style="2" bestFit="1" customWidth="1"/>
    <col min="14599" max="14599" width="8.81640625" style="2"/>
    <col min="14600" max="14600" width="11.26953125" style="2" bestFit="1" customWidth="1"/>
    <col min="14601" max="14601" width="5.453125" style="2" bestFit="1" customWidth="1"/>
    <col min="14602" max="14605" width="5" style="2" bestFit="1" customWidth="1"/>
    <col min="14606" max="14606" width="7.453125" style="2" bestFit="1" customWidth="1"/>
    <col min="14607" max="14607" width="10.453125" style="2" bestFit="1" customWidth="1"/>
    <col min="14608" max="14608" width="8.81640625" style="2"/>
    <col min="14609" max="14610" width="12.453125" style="2" bestFit="1" customWidth="1"/>
    <col min="14611" max="14611" width="14" style="2" bestFit="1" customWidth="1"/>
    <col min="14612" max="14844" width="8.81640625" style="2"/>
    <col min="14845" max="14845" width="3.81640625" style="2" customWidth="1"/>
    <col min="14846" max="14846" width="8.81640625" style="2"/>
    <col min="14847" max="14847" width="14.453125" style="2" customWidth="1"/>
    <col min="14848" max="14848" width="38.7265625" style="2" customWidth="1"/>
    <col min="14849" max="14853" width="14" style="2" bestFit="1" customWidth="1"/>
    <col min="14854" max="14854" width="10.453125" style="2" bestFit="1" customWidth="1"/>
    <col min="14855" max="14855" width="8.81640625" style="2"/>
    <col min="14856" max="14856" width="11.26953125" style="2" bestFit="1" customWidth="1"/>
    <col min="14857" max="14857" width="5.453125" style="2" bestFit="1" customWidth="1"/>
    <col min="14858" max="14861" width="5" style="2" bestFit="1" customWidth="1"/>
    <col min="14862" max="14862" width="7.453125" style="2" bestFit="1" customWidth="1"/>
    <col min="14863" max="14863" width="10.453125" style="2" bestFit="1" customWidth="1"/>
    <col min="14864" max="14864" width="8.81640625" style="2"/>
    <col min="14865" max="14866" width="12.453125" style="2" bestFit="1" customWidth="1"/>
    <col min="14867" max="14867" width="14" style="2" bestFit="1" customWidth="1"/>
    <col min="14868" max="15100" width="8.81640625" style="2"/>
    <col min="15101" max="15101" width="3.81640625" style="2" customWidth="1"/>
    <col min="15102" max="15102" width="8.81640625" style="2"/>
    <col min="15103" max="15103" width="14.453125" style="2" customWidth="1"/>
    <col min="15104" max="15104" width="38.7265625" style="2" customWidth="1"/>
    <col min="15105" max="15109" width="14" style="2" bestFit="1" customWidth="1"/>
    <col min="15110" max="15110" width="10.453125" style="2" bestFit="1" customWidth="1"/>
    <col min="15111" max="15111" width="8.81640625" style="2"/>
    <col min="15112" max="15112" width="11.26953125" style="2" bestFit="1" customWidth="1"/>
    <col min="15113" max="15113" width="5.453125" style="2" bestFit="1" customWidth="1"/>
    <col min="15114" max="15117" width="5" style="2" bestFit="1" customWidth="1"/>
    <col min="15118" max="15118" width="7.453125" style="2" bestFit="1" customWidth="1"/>
    <col min="15119" max="15119" width="10.453125" style="2" bestFit="1" customWidth="1"/>
    <col min="15120" max="15120" width="8.81640625" style="2"/>
    <col min="15121" max="15122" width="12.453125" style="2" bestFit="1" customWidth="1"/>
    <col min="15123" max="15123" width="14" style="2" bestFit="1" customWidth="1"/>
    <col min="15124" max="15356" width="8.81640625" style="2"/>
    <col min="15357" max="15357" width="3.81640625" style="2" customWidth="1"/>
    <col min="15358" max="15358" width="8.81640625" style="2"/>
    <col min="15359" max="15359" width="14.453125" style="2" customWidth="1"/>
    <col min="15360" max="15360" width="38.7265625" style="2" customWidth="1"/>
    <col min="15361" max="15365" width="14" style="2" bestFit="1" customWidth="1"/>
    <col min="15366" max="15366" width="10.453125" style="2" bestFit="1" customWidth="1"/>
    <col min="15367" max="15367" width="8.81640625" style="2"/>
    <col min="15368" max="15368" width="11.26953125" style="2" bestFit="1" customWidth="1"/>
    <col min="15369" max="15369" width="5.453125" style="2" bestFit="1" customWidth="1"/>
    <col min="15370" max="15373" width="5" style="2" bestFit="1" customWidth="1"/>
    <col min="15374" max="15374" width="7.453125" style="2" bestFit="1" customWidth="1"/>
    <col min="15375" max="15375" width="10.453125" style="2" bestFit="1" customWidth="1"/>
    <col min="15376" max="15376" width="8.81640625" style="2"/>
    <col min="15377" max="15378" width="12.453125" style="2" bestFit="1" customWidth="1"/>
    <col min="15379" max="15379" width="14" style="2" bestFit="1" customWidth="1"/>
    <col min="15380" max="15612" width="8.81640625" style="2"/>
    <col min="15613" max="15613" width="3.81640625" style="2" customWidth="1"/>
    <col min="15614" max="15614" width="8.81640625" style="2"/>
    <col min="15615" max="15615" width="14.453125" style="2" customWidth="1"/>
    <col min="15616" max="15616" width="38.7265625" style="2" customWidth="1"/>
    <col min="15617" max="15621" width="14" style="2" bestFit="1" customWidth="1"/>
    <col min="15622" max="15622" width="10.453125" style="2" bestFit="1" customWidth="1"/>
    <col min="15623" max="15623" width="8.81640625" style="2"/>
    <col min="15624" max="15624" width="11.26953125" style="2" bestFit="1" customWidth="1"/>
    <col min="15625" max="15625" width="5.453125" style="2" bestFit="1" customWidth="1"/>
    <col min="15626" max="15629" width="5" style="2" bestFit="1" customWidth="1"/>
    <col min="15630" max="15630" width="7.453125" style="2" bestFit="1" customWidth="1"/>
    <col min="15631" max="15631" width="10.453125" style="2" bestFit="1" customWidth="1"/>
    <col min="15632" max="15632" width="8.81640625" style="2"/>
    <col min="15633" max="15634" width="12.453125" style="2" bestFit="1" customWidth="1"/>
    <col min="15635" max="15635" width="14" style="2" bestFit="1" customWidth="1"/>
    <col min="15636" max="15868" width="8.81640625" style="2"/>
    <col min="15869" max="15869" width="3.81640625" style="2" customWidth="1"/>
    <col min="15870" max="15870" width="8.81640625" style="2"/>
    <col min="15871" max="15871" width="14.453125" style="2" customWidth="1"/>
    <col min="15872" max="15872" width="38.7265625" style="2" customWidth="1"/>
    <col min="15873" max="15877" width="14" style="2" bestFit="1" customWidth="1"/>
    <col min="15878" max="15878" width="10.453125" style="2" bestFit="1" customWidth="1"/>
    <col min="15879" max="15879" width="8.81640625" style="2"/>
    <col min="15880" max="15880" width="11.26953125" style="2" bestFit="1" customWidth="1"/>
    <col min="15881" max="15881" width="5.453125" style="2" bestFit="1" customWidth="1"/>
    <col min="15882" max="15885" width="5" style="2" bestFit="1" customWidth="1"/>
    <col min="15886" max="15886" width="7.453125" style="2" bestFit="1" customWidth="1"/>
    <col min="15887" max="15887" width="10.453125" style="2" bestFit="1" customWidth="1"/>
    <col min="15888" max="15888" width="8.81640625" style="2"/>
    <col min="15889" max="15890" width="12.453125" style="2" bestFit="1" customWidth="1"/>
    <col min="15891" max="15891" width="14" style="2" bestFit="1" customWidth="1"/>
    <col min="15892" max="16124" width="8.81640625" style="2"/>
    <col min="16125" max="16125" width="3.81640625" style="2" customWidth="1"/>
    <col min="16126" max="16126" width="8.81640625" style="2"/>
    <col min="16127" max="16127" width="14.453125" style="2" customWidth="1"/>
    <col min="16128" max="16128" width="38.7265625" style="2" customWidth="1"/>
    <col min="16129" max="16133" width="14" style="2" bestFit="1" customWidth="1"/>
    <col min="16134" max="16134" width="10.453125" style="2" bestFit="1" customWidth="1"/>
    <col min="16135" max="16135" width="8.81640625" style="2"/>
    <col min="16136" max="16136" width="11.26953125" style="2" bestFit="1" customWidth="1"/>
    <col min="16137" max="16137" width="5.453125" style="2" bestFit="1" customWidth="1"/>
    <col min="16138" max="16141" width="5" style="2" bestFit="1" customWidth="1"/>
    <col min="16142" max="16142" width="7.453125" style="2" bestFit="1" customWidth="1"/>
    <col min="16143" max="16143" width="10.453125" style="2" bestFit="1" customWidth="1"/>
    <col min="16144" max="16144" width="8.81640625" style="2"/>
    <col min="16145" max="16146" width="12.453125" style="2" bestFit="1" customWidth="1"/>
    <col min="16147" max="16147" width="14" style="2" bestFit="1" customWidth="1"/>
    <col min="16148" max="16384" width="8.81640625" style="2"/>
  </cols>
  <sheetData>
    <row r="1" spans="1:29">
      <c r="E1" s="34" t="s">
        <v>272</v>
      </c>
      <c r="F1" s="20"/>
      <c r="G1" s="20"/>
      <c r="H1" s="20"/>
      <c r="I1" s="20"/>
      <c r="J1" s="20"/>
      <c r="K1" s="20"/>
      <c r="L1" s="20"/>
    </row>
    <row r="2" spans="1:29">
      <c r="E2" s="34" t="s">
        <v>273</v>
      </c>
      <c r="G2" s="290">
        <v>44927</v>
      </c>
      <c r="H2" s="291" t="s">
        <v>274</v>
      </c>
      <c r="I2" s="290">
        <v>46752</v>
      </c>
      <c r="J2" s="20"/>
      <c r="K2" s="18"/>
      <c r="L2" s="18"/>
    </row>
    <row r="3" spans="1:29" ht="6.5" customHeight="1" thickBot="1">
      <c r="A3" s="1"/>
    </row>
    <row r="4" spans="1:29" ht="22.5" customHeight="1" thickBot="1">
      <c r="E4" s="416" t="s">
        <v>251</v>
      </c>
      <c r="F4" s="417"/>
      <c r="G4" s="417"/>
      <c r="H4" s="417"/>
      <c r="I4" s="417"/>
      <c r="J4" s="417"/>
      <c r="K4" s="417"/>
      <c r="L4" s="418"/>
      <c r="Y4" s="81"/>
      <c r="Z4" s="81"/>
    </row>
    <row r="5" spans="1:29" ht="15" thickBot="1">
      <c r="E5" s="323" t="s">
        <v>142</v>
      </c>
      <c r="F5" s="318" t="s">
        <v>141</v>
      </c>
      <c r="G5" s="318" t="s">
        <v>140</v>
      </c>
      <c r="H5" s="318" t="s">
        <v>139</v>
      </c>
      <c r="I5" s="318" t="s">
        <v>243</v>
      </c>
      <c r="J5" s="318" t="s">
        <v>137</v>
      </c>
      <c r="K5" s="318" t="s">
        <v>136</v>
      </c>
      <c r="L5" s="324" t="s">
        <v>49</v>
      </c>
      <c r="N5" s="302" t="s">
        <v>163</v>
      </c>
      <c r="O5" s="92" t="s">
        <v>118</v>
      </c>
      <c r="P5" s="4" t="s">
        <v>142</v>
      </c>
      <c r="Q5" s="4" t="s">
        <v>141</v>
      </c>
      <c r="R5" s="4" t="s">
        <v>140</v>
      </c>
      <c r="S5" s="4" t="s">
        <v>139</v>
      </c>
      <c r="T5" s="4" t="s">
        <v>243</v>
      </c>
      <c r="U5" s="4" t="s">
        <v>137</v>
      </c>
      <c r="V5" s="4" t="s">
        <v>136</v>
      </c>
      <c r="W5" s="8" t="s">
        <v>31</v>
      </c>
      <c r="Y5" s="81" t="s">
        <v>75</v>
      </c>
      <c r="Z5" s="81"/>
    </row>
    <row r="6" spans="1:29" ht="44" thickBot="1">
      <c r="E6" s="320" t="s">
        <v>244</v>
      </c>
      <c r="F6" s="321" t="s">
        <v>245</v>
      </c>
      <c r="G6" s="321" t="s">
        <v>246</v>
      </c>
      <c r="H6" s="321" t="s">
        <v>247</v>
      </c>
      <c r="I6" s="321" t="s">
        <v>248</v>
      </c>
      <c r="J6" s="321" t="s">
        <v>249</v>
      </c>
      <c r="K6" s="321" t="s">
        <v>250</v>
      </c>
      <c r="L6" s="322" t="s">
        <v>252</v>
      </c>
      <c r="N6" s="87" t="s">
        <v>275</v>
      </c>
      <c r="O6" s="299" t="s">
        <v>276</v>
      </c>
      <c r="P6" s="300" t="s">
        <v>253</v>
      </c>
      <c r="Q6" s="300" t="s">
        <v>254</v>
      </c>
      <c r="R6" s="300" t="s">
        <v>254</v>
      </c>
      <c r="S6" s="300" t="s">
        <v>253</v>
      </c>
      <c r="T6" s="300" t="s">
        <v>253</v>
      </c>
      <c r="U6" s="300" t="s">
        <v>254</v>
      </c>
      <c r="V6" s="300" t="s">
        <v>253</v>
      </c>
      <c r="W6" s="8"/>
      <c r="Y6" s="81" t="s">
        <v>75</v>
      </c>
      <c r="Z6" s="81"/>
    </row>
    <row r="7" spans="1:29">
      <c r="A7" s="9" t="s">
        <v>30</v>
      </c>
      <c r="B7" s="10" t="s">
        <v>42</v>
      </c>
      <c r="C7" s="10"/>
      <c r="D7" s="10"/>
      <c r="E7" s="317"/>
      <c r="F7" s="317"/>
      <c r="G7" s="318"/>
      <c r="H7" s="318"/>
      <c r="I7" s="318"/>
      <c r="J7" s="318"/>
      <c r="K7" s="318"/>
      <c r="L7" s="319"/>
      <c r="N7" s="87"/>
      <c r="O7" s="93"/>
      <c r="P7" s="15"/>
      <c r="Q7" s="15"/>
      <c r="R7" s="15"/>
      <c r="S7" s="15"/>
      <c r="T7" s="15"/>
      <c r="U7" s="15"/>
      <c r="V7" s="15"/>
      <c r="W7" s="16"/>
    </row>
    <row r="8" spans="1:29">
      <c r="A8" s="17"/>
      <c r="B8" s="298" t="s">
        <v>326</v>
      </c>
      <c r="C8" s="184" t="s">
        <v>190</v>
      </c>
      <c r="D8" s="26" t="s">
        <v>165</v>
      </c>
      <c r="E8" s="38">
        <f>$O8*P8</f>
        <v>43570.754867429998</v>
      </c>
      <c r="F8" s="38">
        <f>$O8*Q8*$W$8</f>
        <v>91498.585221603003</v>
      </c>
      <c r="G8" s="38">
        <f>$O8*R8*$W$8^2</f>
        <v>96073.514482683153</v>
      </c>
      <c r="H8" s="38">
        <f>$O8*S8*$W$8^3</f>
        <v>50438.595103408654</v>
      </c>
      <c r="I8" s="38">
        <f>$O8*T8*$W$8^4</f>
        <v>52960.524858579083</v>
      </c>
      <c r="J8" s="38">
        <f>E8*U8*$W$8^5</f>
        <v>55608.551101508041</v>
      </c>
      <c r="K8" s="38">
        <f>$O8*V8*$W$8^6</f>
        <v>58388.978656583437</v>
      </c>
      <c r="L8" s="19">
        <f>SUM(E8:K8)</f>
        <v>448539.50429179543</v>
      </c>
      <c r="N8" s="90">
        <v>261686.21541999999</v>
      </c>
      <c r="O8" s="94">
        <f>+N8*0.333</f>
        <v>87141.509734859996</v>
      </c>
      <c r="P8" s="75">
        <v>0.5</v>
      </c>
      <c r="Q8" s="75">
        <v>1</v>
      </c>
      <c r="R8" s="75">
        <v>1</v>
      </c>
      <c r="S8" s="75">
        <v>0.5</v>
      </c>
      <c r="T8" s="75">
        <v>0.5</v>
      </c>
      <c r="U8" s="75">
        <v>1</v>
      </c>
      <c r="V8" s="75">
        <v>0.5</v>
      </c>
      <c r="W8" s="325">
        <v>1.05</v>
      </c>
      <c r="Y8" s="153">
        <f>+E8/$N$8</f>
        <v>0.16650000000000001</v>
      </c>
      <c r="Z8" s="153">
        <f t="shared" ref="Z8:AC8" si="0">+F8/$N$8</f>
        <v>0.34965000000000002</v>
      </c>
      <c r="AA8" s="153">
        <f t="shared" si="0"/>
        <v>0.36713250000000003</v>
      </c>
      <c r="AB8" s="153">
        <f t="shared" si="0"/>
        <v>0.19274456249999999</v>
      </c>
      <c r="AC8" s="153">
        <f t="shared" si="0"/>
        <v>0.202381790625</v>
      </c>
    </row>
    <row r="9" spans="1:29">
      <c r="A9" s="17"/>
      <c r="B9" s="297" t="s">
        <v>192</v>
      </c>
      <c r="C9" s="291" t="s">
        <v>191</v>
      </c>
      <c r="D9" s="20" t="s">
        <v>79</v>
      </c>
      <c r="E9" s="38">
        <f t="shared" ref="E9:E12" si="1">$O9*P9</f>
        <v>33291.675000000003</v>
      </c>
      <c r="F9" s="38">
        <f t="shared" ref="F9:F12" si="2">$O9*Q9*$W$8</f>
        <v>69912.517500000016</v>
      </c>
      <c r="G9" s="38">
        <f t="shared" ref="G9:G12" si="3">$O9*R9*$W$8^2</f>
        <v>73408.143375000014</v>
      </c>
      <c r="H9" s="38">
        <f t="shared" ref="H9:H12" si="4">$O9*S9*$W$8^3</f>
        <v>38539.275271875005</v>
      </c>
      <c r="I9" s="38">
        <f t="shared" ref="I9:I12" si="5">$O9*T9*$W$8^4</f>
        <v>40466.239035468752</v>
      </c>
      <c r="J9" s="38">
        <f t="shared" ref="J9:J12" si="6">E9*U9*$W$8^5</f>
        <v>42489.550987242197</v>
      </c>
      <c r="K9" s="38">
        <f t="shared" ref="K9:K12" si="7">$O9*V9*$W$8^6</f>
        <v>44614.028536604303</v>
      </c>
      <c r="L9" s="19">
        <f t="shared" ref="L9:L12" si="8">SUM(E9:K9)</f>
        <v>342721.42970619031</v>
      </c>
      <c r="N9" s="90">
        <v>199950</v>
      </c>
      <c r="O9" s="94">
        <f>+N9*0.333</f>
        <v>66583.350000000006</v>
      </c>
      <c r="P9" s="75">
        <v>0.5</v>
      </c>
      <c r="Q9" s="75">
        <v>1</v>
      </c>
      <c r="R9" s="75">
        <v>1</v>
      </c>
      <c r="S9" s="75">
        <v>0.5</v>
      </c>
      <c r="T9" s="75">
        <v>0.5</v>
      </c>
      <c r="U9" s="75">
        <v>1</v>
      </c>
      <c r="V9" s="75">
        <v>0.5</v>
      </c>
      <c r="W9" s="16"/>
    </row>
    <row r="10" spans="1:29" hidden="1">
      <c r="A10" s="17"/>
      <c r="B10" s="297" t="s">
        <v>192</v>
      </c>
      <c r="C10" s="291" t="s">
        <v>191</v>
      </c>
      <c r="D10" s="20" t="s">
        <v>79</v>
      </c>
      <c r="E10" s="38">
        <f t="shared" si="1"/>
        <v>0</v>
      </c>
      <c r="F10" s="38">
        <f t="shared" si="2"/>
        <v>0</v>
      </c>
      <c r="G10" s="38">
        <f t="shared" si="3"/>
        <v>0</v>
      </c>
      <c r="H10" s="38">
        <f t="shared" si="4"/>
        <v>0</v>
      </c>
      <c r="I10" s="38">
        <f t="shared" si="5"/>
        <v>0</v>
      </c>
      <c r="J10" s="38">
        <f t="shared" si="6"/>
        <v>0</v>
      </c>
      <c r="K10" s="38">
        <f t="shared" si="7"/>
        <v>0</v>
      </c>
      <c r="L10" s="19">
        <f t="shared" si="8"/>
        <v>0</v>
      </c>
      <c r="N10" s="90"/>
      <c r="O10" s="94">
        <v>0</v>
      </c>
      <c r="P10" s="75">
        <v>0.5</v>
      </c>
      <c r="Q10" s="75">
        <v>1</v>
      </c>
      <c r="R10" s="75">
        <v>1</v>
      </c>
      <c r="S10" s="75">
        <v>0.5</v>
      </c>
      <c r="T10" s="75">
        <v>0.5</v>
      </c>
      <c r="U10" s="75">
        <v>1</v>
      </c>
      <c r="V10" s="75">
        <v>0.5</v>
      </c>
      <c r="W10" s="16"/>
    </row>
    <row r="11" spans="1:29" hidden="1">
      <c r="A11" s="17"/>
      <c r="B11" s="297" t="s">
        <v>192</v>
      </c>
      <c r="C11" s="291" t="s">
        <v>191</v>
      </c>
      <c r="D11" s="20" t="s">
        <v>79</v>
      </c>
      <c r="E11" s="38">
        <f t="shared" si="1"/>
        <v>0</v>
      </c>
      <c r="F11" s="38">
        <f t="shared" si="2"/>
        <v>0</v>
      </c>
      <c r="G11" s="38">
        <f t="shared" si="3"/>
        <v>0</v>
      </c>
      <c r="H11" s="38">
        <f t="shared" si="4"/>
        <v>0</v>
      </c>
      <c r="I11" s="38">
        <f t="shared" si="5"/>
        <v>0</v>
      </c>
      <c r="J11" s="38">
        <f t="shared" si="6"/>
        <v>0</v>
      </c>
      <c r="K11" s="38">
        <f t="shared" si="7"/>
        <v>0</v>
      </c>
      <c r="L11" s="19">
        <f t="shared" si="8"/>
        <v>0</v>
      </c>
      <c r="N11" s="90"/>
      <c r="O11" s="99">
        <v>0</v>
      </c>
      <c r="P11" s="75">
        <v>0.5</v>
      </c>
      <c r="Q11" s="75">
        <v>1</v>
      </c>
      <c r="R11" s="75">
        <v>1</v>
      </c>
      <c r="S11" s="75">
        <v>0.5</v>
      </c>
      <c r="T11" s="75">
        <v>0.5</v>
      </c>
      <c r="U11" s="75">
        <v>1</v>
      </c>
      <c r="V11" s="75">
        <v>0.5</v>
      </c>
      <c r="W11" s="16"/>
    </row>
    <row r="12" spans="1:29" hidden="1">
      <c r="A12" s="17"/>
      <c r="B12" s="297" t="s">
        <v>192</v>
      </c>
      <c r="C12" s="291" t="s">
        <v>281</v>
      </c>
      <c r="D12" s="20" t="s">
        <v>79</v>
      </c>
      <c r="E12" s="38">
        <f t="shared" si="1"/>
        <v>0</v>
      </c>
      <c r="F12" s="38">
        <f t="shared" si="2"/>
        <v>0</v>
      </c>
      <c r="G12" s="38">
        <f t="shared" si="3"/>
        <v>0</v>
      </c>
      <c r="H12" s="38">
        <f t="shared" si="4"/>
        <v>0</v>
      </c>
      <c r="I12" s="38">
        <f t="shared" si="5"/>
        <v>0</v>
      </c>
      <c r="J12" s="38">
        <f t="shared" si="6"/>
        <v>0</v>
      </c>
      <c r="K12" s="38">
        <f t="shared" si="7"/>
        <v>0</v>
      </c>
      <c r="L12" s="19">
        <f t="shared" si="8"/>
        <v>0</v>
      </c>
      <c r="N12" s="90"/>
      <c r="O12" s="94">
        <v>0</v>
      </c>
      <c r="P12" s="75">
        <v>0.5</v>
      </c>
      <c r="Q12" s="75">
        <v>1</v>
      </c>
      <c r="R12" s="75">
        <v>1</v>
      </c>
      <c r="S12" s="75">
        <v>0.5</v>
      </c>
      <c r="T12" s="75">
        <v>0.5</v>
      </c>
      <c r="U12" s="75">
        <v>1</v>
      </c>
      <c r="V12" s="75">
        <v>0.5</v>
      </c>
      <c r="W12" s="16"/>
    </row>
    <row r="13" spans="1:29">
      <c r="A13" s="17"/>
      <c r="B13" s="21" t="s">
        <v>164</v>
      </c>
      <c r="C13" s="18"/>
      <c r="D13" s="18"/>
      <c r="E13" s="22">
        <f>SUM(E8:E12)</f>
        <v>76862.429867430008</v>
      </c>
      <c r="F13" s="22">
        <f t="shared" ref="F13:K13" si="9">SUM(F8:F12)</f>
        <v>161411.10272160301</v>
      </c>
      <c r="G13" s="22">
        <f t="shared" si="9"/>
        <v>169481.65785768317</v>
      </c>
      <c r="H13" s="22">
        <f t="shared" si="9"/>
        <v>88977.870375283659</v>
      </c>
      <c r="I13" s="22">
        <f t="shared" si="9"/>
        <v>93426.763894047835</v>
      </c>
      <c r="J13" s="22">
        <f t="shared" si="9"/>
        <v>98098.102088750238</v>
      </c>
      <c r="K13" s="22">
        <f t="shared" si="9"/>
        <v>103003.00719318775</v>
      </c>
      <c r="L13" s="19">
        <f t="shared" ref="L13:L22" si="10">SUM(E13:K13)</f>
        <v>791260.93399798556</v>
      </c>
      <c r="N13" s="14"/>
      <c r="O13" s="88"/>
      <c r="P13" s="187"/>
      <c r="Q13" s="187"/>
      <c r="R13" s="187"/>
      <c r="S13" s="187"/>
      <c r="T13" s="187"/>
      <c r="U13" s="187"/>
      <c r="V13" s="187"/>
      <c r="W13" s="16"/>
    </row>
    <row r="14" spans="1:29">
      <c r="A14" s="23" t="s">
        <v>29</v>
      </c>
      <c r="B14" s="24" t="s">
        <v>83</v>
      </c>
      <c r="C14" s="24"/>
      <c r="D14" s="24"/>
      <c r="E14" s="25"/>
      <c r="F14" s="25"/>
      <c r="G14" s="25"/>
      <c r="H14" s="25"/>
      <c r="I14" s="25"/>
      <c r="J14" s="25"/>
      <c r="K14" s="25"/>
      <c r="L14" s="19"/>
      <c r="N14" s="14"/>
      <c r="O14" s="101"/>
      <c r="P14" s="187"/>
      <c r="Q14" s="187"/>
      <c r="R14" s="187"/>
      <c r="S14" s="187"/>
      <c r="T14" s="187"/>
      <c r="U14" s="187"/>
      <c r="V14" s="187"/>
      <c r="W14" s="16"/>
    </row>
    <row r="15" spans="1:29">
      <c r="A15" s="17"/>
      <c r="B15" s="21" t="s">
        <v>51</v>
      </c>
      <c r="C15" s="26"/>
      <c r="D15" s="26"/>
      <c r="E15" s="38">
        <f t="shared" ref="E15:E22" si="11">$O15*P15</f>
        <v>15300</v>
      </c>
      <c r="F15" s="38">
        <f t="shared" ref="F15:F22" si="12">$O15*Q15*$W$8</f>
        <v>32130</v>
      </c>
      <c r="G15" s="38">
        <f t="shared" ref="G15:G22" si="13">$O15*R15*$W$8^2</f>
        <v>33736.5</v>
      </c>
      <c r="H15" s="38">
        <f t="shared" ref="H15:H22" si="14">$O15*S15*$W$8^3</f>
        <v>17711.662500000002</v>
      </c>
      <c r="I15" s="38">
        <f t="shared" ref="I15:I22" si="15">$O15*T15*$W$8^4</f>
        <v>17357.429250000001</v>
      </c>
      <c r="J15" s="38">
        <f t="shared" ref="J15:J22" si="16">$O15*U15*$W$8^5</f>
        <v>39054.215812500006</v>
      </c>
      <c r="K15" s="38">
        <f t="shared" ref="K15:K22" si="17">$O15*V15*$W$8^6</f>
        <v>20503.4633015625</v>
      </c>
      <c r="L15" s="19">
        <f t="shared" si="10"/>
        <v>175793.27086406251</v>
      </c>
      <c r="N15" s="91"/>
      <c r="O15" s="100">
        <v>5100</v>
      </c>
      <c r="P15" s="75">
        <v>3</v>
      </c>
      <c r="Q15" s="75">
        <v>6</v>
      </c>
      <c r="R15" s="75">
        <v>6</v>
      </c>
      <c r="S15" s="75">
        <v>3</v>
      </c>
      <c r="T15" s="75">
        <v>2.8</v>
      </c>
      <c r="U15" s="75">
        <v>6</v>
      </c>
      <c r="V15" s="75">
        <v>3</v>
      </c>
      <c r="W15" s="16"/>
    </row>
    <row r="16" spans="1:29" ht="15.75" customHeight="1">
      <c r="A16" s="17"/>
      <c r="B16" s="21" t="s">
        <v>50</v>
      </c>
      <c r="C16" s="18"/>
      <c r="D16" s="18"/>
      <c r="E16" s="38">
        <f t="shared" si="11"/>
        <v>0</v>
      </c>
      <c r="F16" s="38">
        <f t="shared" si="12"/>
        <v>0</v>
      </c>
      <c r="G16" s="38">
        <f t="shared" si="13"/>
        <v>0</v>
      </c>
      <c r="H16" s="38">
        <f t="shared" si="14"/>
        <v>0</v>
      </c>
      <c r="I16" s="38">
        <f t="shared" si="15"/>
        <v>0</v>
      </c>
      <c r="J16" s="38">
        <f t="shared" si="16"/>
        <v>0</v>
      </c>
      <c r="K16" s="38">
        <f t="shared" si="17"/>
        <v>0</v>
      </c>
      <c r="L16" s="19">
        <f t="shared" si="10"/>
        <v>0</v>
      </c>
      <c r="N16" s="91"/>
      <c r="O16" s="95">
        <v>5000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16"/>
    </row>
    <row r="17" spans="1:25">
      <c r="A17" s="17"/>
      <c r="B17" s="21" t="s">
        <v>277</v>
      </c>
      <c r="C17" s="18"/>
      <c r="D17" s="18"/>
      <c r="E17" s="38">
        <f t="shared" si="11"/>
        <v>0</v>
      </c>
      <c r="F17" s="38">
        <f t="shared" si="12"/>
        <v>0</v>
      </c>
      <c r="G17" s="38">
        <f t="shared" si="13"/>
        <v>0</v>
      </c>
      <c r="H17" s="38">
        <f t="shared" si="14"/>
        <v>0</v>
      </c>
      <c r="I17" s="38">
        <f t="shared" si="15"/>
        <v>0</v>
      </c>
      <c r="J17" s="38">
        <f t="shared" si="16"/>
        <v>0</v>
      </c>
      <c r="K17" s="38">
        <f t="shared" si="17"/>
        <v>0</v>
      </c>
      <c r="L17" s="19">
        <f t="shared" si="10"/>
        <v>0</v>
      </c>
      <c r="N17" s="91">
        <v>40382</v>
      </c>
      <c r="O17" s="95">
        <f>+N17/12</f>
        <v>3365.1666666666665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16"/>
      <c r="Y17" s="28" t="s">
        <v>178</v>
      </c>
    </row>
    <row r="18" spans="1:25">
      <c r="A18" s="17"/>
      <c r="B18" s="21" t="s">
        <v>278</v>
      </c>
      <c r="C18" s="18"/>
      <c r="D18" s="18"/>
      <c r="E18" s="38">
        <f t="shared" si="11"/>
        <v>41253</v>
      </c>
      <c r="F18" s="38">
        <f t="shared" si="12"/>
        <v>86631.3</v>
      </c>
      <c r="G18" s="38">
        <f t="shared" si="13"/>
        <v>90962.865000000005</v>
      </c>
      <c r="H18" s="38">
        <f t="shared" si="14"/>
        <v>47755.504125000007</v>
      </c>
      <c r="I18" s="38">
        <f t="shared" si="15"/>
        <v>50143.27933125</v>
      </c>
      <c r="J18" s="38">
        <f t="shared" si="16"/>
        <v>105300.88659562501</v>
      </c>
      <c r="K18" s="38">
        <f t="shared" si="17"/>
        <v>55282.965462703127</v>
      </c>
      <c r="L18" s="19">
        <f t="shared" si="10"/>
        <v>477329.80051457818</v>
      </c>
      <c r="N18" s="91">
        <v>41253</v>
      </c>
      <c r="O18" s="95">
        <f t="shared" ref="O18:O19" si="18">+N18/12</f>
        <v>3437.75</v>
      </c>
      <c r="P18" s="75">
        <v>12</v>
      </c>
      <c r="Q18" s="75">
        <v>24</v>
      </c>
      <c r="R18" s="75">
        <v>24</v>
      </c>
      <c r="S18" s="75">
        <v>12</v>
      </c>
      <c r="T18" s="75">
        <v>12</v>
      </c>
      <c r="U18" s="75">
        <v>24</v>
      </c>
      <c r="V18" s="75">
        <v>12</v>
      </c>
      <c r="W18" s="16"/>
      <c r="Y18" s="28" t="s">
        <v>96</v>
      </c>
    </row>
    <row r="19" spans="1:25">
      <c r="A19" s="17"/>
      <c r="B19" s="21" t="s">
        <v>279</v>
      </c>
      <c r="C19" s="18"/>
      <c r="D19" s="18"/>
      <c r="E19" s="38">
        <f t="shared" si="11"/>
        <v>21062</v>
      </c>
      <c r="F19" s="38">
        <f t="shared" si="12"/>
        <v>44230.200000000004</v>
      </c>
      <c r="G19" s="38">
        <f t="shared" si="13"/>
        <v>46441.71</v>
      </c>
      <c r="H19" s="38">
        <f t="shared" si="14"/>
        <v>24381.897750000004</v>
      </c>
      <c r="I19" s="38">
        <f t="shared" si="15"/>
        <v>25600.9926375</v>
      </c>
      <c r="J19" s="38">
        <f t="shared" si="16"/>
        <v>53762.084538750009</v>
      </c>
      <c r="K19" s="38">
        <f t="shared" si="17"/>
        <v>28225.094382843748</v>
      </c>
      <c r="L19" s="19">
        <f t="shared" si="10"/>
        <v>243703.97930909376</v>
      </c>
      <c r="N19" s="91">
        <v>42124</v>
      </c>
      <c r="O19" s="95">
        <f t="shared" si="18"/>
        <v>3510.3333333333335</v>
      </c>
      <c r="P19" s="75">
        <v>6</v>
      </c>
      <c r="Q19" s="75">
        <v>12</v>
      </c>
      <c r="R19" s="75">
        <v>12</v>
      </c>
      <c r="S19" s="75">
        <v>6</v>
      </c>
      <c r="T19" s="75">
        <v>6</v>
      </c>
      <c r="U19" s="75">
        <v>12</v>
      </c>
      <c r="V19" s="75">
        <v>6</v>
      </c>
      <c r="W19" s="16"/>
      <c r="Y19" s="28" t="s">
        <v>179</v>
      </c>
    </row>
    <row r="20" spans="1:25">
      <c r="A20" s="17"/>
      <c r="B20" s="21" t="s">
        <v>28</v>
      </c>
      <c r="C20" s="18"/>
      <c r="D20" s="18"/>
      <c r="E20" s="38">
        <f t="shared" si="11"/>
        <v>4635</v>
      </c>
      <c r="F20" s="38">
        <f t="shared" si="12"/>
        <v>9733.5</v>
      </c>
      <c r="G20" s="38">
        <f t="shared" si="13"/>
        <v>10220.175000000001</v>
      </c>
      <c r="H20" s="38">
        <f t="shared" si="14"/>
        <v>5365.591875000001</v>
      </c>
      <c r="I20" s="38">
        <f t="shared" si="15"/>
        <v>0</v>
      </c>
      <c r="J20" s="38">
        <f t="shared" si="16"/>
        <v>11831.130084375001</v>
      </c>
      <c r="K20" s="38">
        <f t="shared" si="17"/>
        <v>6211.3432942968748</v>
      </c>
      <c r="L20" s="19">
        <f t="shared" si="10"/>
        <v>47996.74025367188</v>
      </c>
      <c r="N20" s="91"/>
      <c r="O20" s="98">
        <v>15.45</v>
      </c>
      <c r="P20" s="75">
        <v>300</v>
      </c>
      <c r="Q20" s="75">
        <f t="shared" ref="Q20:U20" si="19">10*4*9+20*4*3</f>
        <v>600</v>
      </c>
      <c r="R20" s="75">
        <f t="shared" si="19"/>
        <v>600</v>
      </c>
      <c r="S20" s="75">
        <v>300</v>
      </c>
      <c r="T20" s="75"/>
      <c r="U20" s="75">
        <f t="shared" si="19"/>
        <v>600</v>
      </c>
      <c r="V20" s="75">
        <v>300</v>
      </c>
      <c r="W20" s="16"/>
      <c r="Y20" s="97" t="s">
        <v>78</v>
      </c>
    </row>
    <row r="21" spans="1:25">
      <c r="A21" s="17"/>
      <c r="B21" s="21" t="s">
        <v>27</v>
      </c>
      <c r="C21" s="18"/>
      <c r="D21" s="18"/>
      <c r="E21" s="38">
        <f t="shared" si="11"/>
        <v>0</v>
      </c>
      <c r="F21" s="38">
        <f t="shared" si="12"/>
        <v>0</v>
      </c>
      <c r="G21" s="38">
        <f t="shared" si="13"/>
        <v>0</v>
      </c>
      <c r="H21" s="38">
        <f t="shared" si="14"/>
        <v>0</v>
      </c>
      <c r="I21" s="38">
        <f t="shared" si="15"/>
        <v>0</v>
      </c>
      <c r="J21" s="38">
        <f t="shared" si="16"/>
        <v>0</v>
      </c>
      <c r="K21" s="38">
        <f t="shared" si="17"/>
        <v>0</v>
      </c>
      <c r="L21" s="19">
        <f t="shared" si="10"/>
        <v>0</v>
      </c>
      <c r="N21" s="91"/>
      <c r="O21" s="95">
        <v>3000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16"/>
    </row>
    <row r="22" spans="1:25">
      <c r="A22" s="17"/>
      <c r="B22" s="21" t="s">
        <v>26</v>
      </c>
      <c r="C22" s="18"/>
      <c r="D22" s="18"/>
      <c r="E22" s="38">
        <f t="shared" si="11"/>
        <v>0</v>
      </c>
      <c r="F22" s="38">
        <f t="shared" si="12"/>
        <v>0</v>
      </c>
      <c r="G22" s="38">
        <f t="shared" si="13"/>
        <v>0</v>
      </c>
      <c r="H22" s="38">
        <f t="shared" si="14"/>
        <v>0</v>
      </c>
      <c r="I22" s="38">
        <f t="shared" si="15"/>
        <v>0</v>
      </c>
      <c r="J22" s="38">
        <f t="shared" si="16"/>
        <v>0</v>
      </c>
      <c r="K22" s="38">
        <f t="shared" si="17"/>
        <v>0</v>
      </c>
      <c r="L22" s="19">
        <f t="shared" si="10"/>
        <v>0</v>
      </c>
      <c r="N22" s="27"/>
      <c r="O22" s="98">
        <v>10</v>
      </c>
      <c r="P22" s="75"/>
      <c r="Q22" s="75"/>
      <c r="R22" s="75"/>
      <c r="S22" s="75"/>
      <c r="T22" s="75"/>
      <c r="U22" s="75"/>
      <c r="V22" s="75"/>
      <c r="W22" s="16"/>
    </row>
    <row r="23" spans="1:25" s="34" customFormat="1">
      <c r="A23" s="30"/>
      <c r="B23" s="31" t="s">
        <v>25</v>
      </c>
      <c r="C23" s="31"/>
      <c r="D23" s="31"/>
      <c r="E23" s="32">
        <f>E13+SUM(E15:E22)</f>
        <v>159112.42986743001</v>
      </c>
      <c r="F23" s="32">
        <f>F13+SUM(F15:F22)</f>
        <v>334136.10272160301</v>
      </c>
      <c r="G23" s="32">
        <f>G13+SUM(G15:G22)</f>
        <v>350842.90785768314</v>
      </c>
      <c r="H23" s="32">
        <f>H13+SUM(H15:H22)</f>
        <v>184192.52662528367</v>
      </c>
      <c r="I23" s="32">
        <f>I13+SUM(I15:I22)</f>
        <v>186528.46511279786</v>
      </c>
      <c r="J23" s="32">
        <f t="shared" ref="J23:K23" si="20">J13+SUM(J15:J22)</f>
        <v>308046.41912000027</v>
      </c>
      <c r="K23" s="32">
        <f t="shared" si="20"/>
        <v>213225.873634594</v>
      </c>
      <c r="L23" s="33">
        <f>SUM(E23:K23)</f>
        <v>1736084.7249393919</v>
      </c>
      <c r="N23" s="35"/>
      <c r="O23" s="89"/>
      <c r="P23" s="52"/>
      <c r="Q23" s="52"/>
      <c r="R23" s="52"/>
      <c r="S23" s="52"/>
      <c r="T23" s="52"/>
      <c r="U23" s="52"/>
      <c r="V23" s="52"/>
      <c r="W23" s="53"/>
    </row>
    <row r="24" spans="1:25">
      <c r="A24" s="17" t="s">
        <v>24</v>
      </c>
      <c r="B24" s="18" t="s">
        <v>44</v>
      </c>
      <c r="C24" s="18"/>
      <c r="D24" s="18"/>
      <c r="E24" s="29"/>
      <c r="F24" s="29"/>
      <c r="G24" s="29"/>
      <c r="H24" s="29"/>
      <c r="I24" s="29"/>
      <c r="J24" s="29"/>
      <c r="K24" s="29"/>
      <c r="L24" s="19"/>
      <c r="N24" s="14"/>
      <c r="O24" s="88"/>
      <c r="P24" s="15"/>
      <c r="Q24" s="15"/>
      <c r="R24" s="15"/>
      <c r="S24" s="15"/>
      <c r="T24" s="15"/>
      <c r="U24" s="15"/>
      <c r="V24" s="15"/>
      <c r="W24" s="16"/>
    </row>
    <row r="25" spans="1:25">
      <c r="A25" s="17"/>
      <c r="B25" s="21" t="s">
        <v>302</v>
      </c>
      <c r="C25" s="18"/>
      <c r="D25" s="18"/>
      <c r="E25" s="22">
        <f t="shared" ref="E25:K25" si="21">ROUND(($W27*(E13)),0)</f>
        <v>5842</v>
      </c>
      <c r="F25" s="22">
        <f t="shared" si="21"/>
        <v>12267</v>
      </c>
      <c r="G25" s="22">
        <f t="shared" si="21"/>
        <v>12881</v>
      </c>
      <c r="H25" s="22">
        <f t="shared" si="21"/>
        <v>6762</v>
      </c>
      <c r="I25" s="22">
        <f t="shared" si="21"/>
        <v>7100</v>
      </c>
      <c r="J25" s="22">
        <f t="shared" si="21"/>
        <v>7455</v>
      </c>
      <c r="K25" s="22">
        <f t="shared" si="21"/>
        <v>7828</v>
      </c>
      <c r="L25" s="19">
        <f t="shared" ref="L25:L30" si="22">SUM(E25:K25)</f>
        <v>60135</v>
      </c>
      <c r="N25" s="14"/>
      <c r="O25" s="88"/>
      <c r="P25" s="15"/>
      <c r="Q25" s="15"/>
      <c r="R25" s="15"/>
      <c r="S25" s="15"/>
      <c r="T25" s="15"/>
      <c r="U25" s="15"/>
      <c r="V25" s="15"/>
      <c r="W25" s="16"/>
    </row>
    <row r="26" spans="1:25">
      <c r="A26" s="17"/>
      <c r="B26" s="21" t="s">
        <v>166</v>
      </c>
      <c r="C26" s="18"/>
      <c r="D26" s="18"/>
      <c r="E26" s="22">
        <f t="shared" ref="E26:K26" si="23">+(E15+E16)*$W$26</f>
        <v>4574.7</v>
      </c>
      <c r="F26" s="22">
        <f t="shared" si="23"/>
        <v>9606.869999999999</v>
      </c>
      <c r="G26" s="22">
        <f t="shared" si="23"/>
        <v>10087.2135</v>
      </c>
      <c r="H26" s="22">
        <f t="shared" si="23"/>
        <v>5295.7870875000008</v>
      </c>
      <c r="I26" s="22">
        <f t="shared" si="23"/>
        <v>5189.8713457499998</v>
      </c>
      <c r="J26" s="22">
        <f t="shared" si="23"/>
        <v>11677.210527937501</v>
      </c>
      <c r="K26" s="22">
        <f t="shared" si="23"/>
        <v>6130.535527167187</v>
      </c>
      <c r="L26" s="19">
        <f t="shared" si="22"/>
        <v>52562.187988354686</v>
      </c>
      <c r="N26" s="14"/>
      <c r="O26" s="88"/>
      <c r="P26" s="15"/>
      <c r="Q26" s="15"/>
      <c r="R26" s="15"/>
      <c r="S26" s="15"/>
      <c r="T26" s="15"/>
      <c r="U26" s="15"/>
      <c r="V26" s="15"/>
      <c r="W26" s="326">
        <v>0.29899999999999999</v>
      </c>
      <c r="Y26" s="2" t="s">
        <v>111</v>
      </c>
    </row>
    <row r="27" spans="1:25">
      <c r="A27" s="17"/>
      <c r="B27" s="21" t="s">
        <v>52</v>
      </c>
      <c r="C27" s="18"/>
      <c r="D27" s="18"/>
      <c r="E27" s="22">
        <f t="shared" ref="E27:K27" si="24">ROUND((E17+E18+E19)*$W28,0)</f>
        <v>16825</v>
      </c>
      <c r="F27" s="22">
        <f t="shared" si="24"/>
        <v>35333</v>
      </c>
      <c r="G27" s="22">
        <f t="shared" si="24"/>
        <v>37099</v>
      </c>
      <c r="H27" s="22">
        <f t="shared" si="24"/>
        <v>19477</v>
      </c>
      <c r="I27" s="22">
        <f t="shared" si="24"/>
        <v>20451</v>
      </c>
      <c r="J27" s="22">
        <f t="shared" si="24"/>
        <v>42947</v>
      </c>
      <c r="K27" s="22">
        <f t="shared" si="24"/>
        <v>22547</v>
      </c>
      <c r="L27" s="19">
        <f t="shared" si="22"/>
        <v>194679</v>
      </c>
      <c r="N27" s="14"/>
      <c r="O27" s="88"/>
      <c r="P27" s="15"/>
      <c r="Q27" s="15"/>
      <c r="R27" s="15"/>
      <c r="S27" s="15"/>
      <c r="T27" s="15"/>
      <c r="U27" s="15"/>
      <c r="V27" s="15"/>
      <c r="W27" s="326">
        <v>7.5999999999999998E-2</v>
      </c>
      <c r="Y27" s="2" t="s">
        <v>80</v>
      </c>
    </row>
    <row r="28" spans="1:25">
      <c r="A28" s="17"/>
      <c r="B28" s="21" t="s">
        <v>82</v>
      </c>
      <c r="C28" s="18"/>
      <c r="D28" s="18"/>
      <c r="E28" s="22">
        <f t="shared" ref="E28:K28" si="25">ROUND(E20*$W27,0)</f>
        <v>352</v>
      </c>
      <c r="F28" s="22">
        <f t="shared" si="25"/>
        <v>740</v>
      </c>
      <c r="G28" s="22">
        <f t="shared" si="25"/>
        <v>777</v>
      </c>
      <c r="H28" s="22">
        <f t="shared" si="25"/>
        <v>408</v>
      </c>
      <c r="I28" s="22">
        <f t="shared" si="25"/>
        <v>0</v>
      </c>
      <c r="J28" s="22">
        <f t="shared" si="25"/>
        <v>899</v>
      </c>
      <c r="K28" s="22">
        <f t="shared" si="25"/>
        <v>472</v>
      </c>
      <c r="L28" s="19">
        <f t="shared" si="22"/>
        <v>3648</v>
      </c>
      <c r="N28" s="14"/>
      <c r="O28" s="88"/>
      <c r="P28" s="15"/>
      <c r="Q28" s="15"/>
      <c r="R28" s="15"/>
      <c r="S28" s="15"/>
      <c r="T28" s="15"/>
      <c r="U28" s="15"/>
      <c r="V28" s="15"/>
      <c r="W28" s="326">
        <v>0.27</v>
      </c>
      <c r="Y28" s="2" t="s">
        <v>81</v>
      </c>
    </row>
    <row r="29" spans="1:25">
      <c r="A29" s="17"/>
      <c r="B29" s="21" t="s">
        <v>109</v>
      </c>
      <c r="C29" s="18"/>
      <c r="D29" s="18"/>
      <c r="E29" s="22">
        <f t="shared" ref="E29:K29" si="26">+E21*$W$29</f>
        <v>0</v>
      </c>
      <c r="F29" s="22">
        <f t="shared" si="26"/>
        <v>0</v>
      </c>
      <c r="G29" s="22">
        <f t="shared" si="26"/>
        <v>0</v>
      </c>
      <c r="H29" s="22">
        <f t="shared" si="26"/>
        <v>0</v>
      </c>
      <c r="I29" s="22">
        <f t="shared" si="26"/>
        <v>0</v>
      </c>
      <c r="J29" s="22">
        <f t="shared" si="26"/>
        <v>0</v>
      </c>
      <c r="K29" s="22">
        <f t="shared" si="26"/>
        <v>0</v>
      </c>
      <c r="L29" s="19">
        <f t="shared" si="22"/>
        <v>0</v>
      </c>
      <c r="N29" s="14"/>
      <c r="O29" s="88"/>
      <c r="P29" s="15"/>
      <c r="Q29" s="15"/>
      <c r="R29" s="15"/>
      <c r="S29" s="15"/>
      <c r="T29" s="15"/>
      <c r="U29" s="15"/>
      <c r="V29" s="15"/>
      <c r="W29" s="326">
        <v>0.35599999999999998</v>
      </c>
      <c r="Y29" s="2" t="s">
        <v>110</v>
      </c>
    </row>
    <row r="30" spans="1:25">
      <c r="A30" s="17"/>
      <c r="B30" s="18" t="s">
        <v>46</v>
      </c>
      <c r="C30" s="18"/>
      <c r="D30" s="18"/>
      <c r="E30" s="22">
        <f>SUM(E25:E29)</f>
        <v>27593.7</v>
      </c>
      <c r="F30" s="22">
        <f t="shared" ref="F30:I30" si="27">SUM(F25:F29)</f>
        <v>57946.869999999995</v>
      </c>
      <c r="G30" s="22">
        <f t="shared" si="27"/>
        <v>60844.213499999998</v>
      </c>
      <c r="H30" s="22">
        <f t="shared" si="27"/>
        <v>31942.787087500001</v>
      </c>
      <c r="I30" s="22">
        <f t="shared" si="27"/>
        <v>32740.871345749998</v>
      </c>
      <c r="J30" s="22">
        <f t="shared" ref="J30:K30" si="28">SUM(J25:J29)</f>
        <v>62978.210527937503</v>
      </c>
      <c r="K30" s="22">
        <f t="shared" si="28"/>
        <v>36977.535527167187</v>
      </c>
      <c r="L30" s="19">
        <f t="shared" si="22"/>
        <v>311024.18798835471</v>
      </c>
      <c r="N30" s="14"/>
      <c r="O30" s="88"/>
      <c r="P30" s="15"/>
      <c r="Q30" s="15"/>
      <c r="R30" s="15"/>
      <c r="S30" s="15"/>
      <c r="T30" s="15"/>
      <c r="U30" s="15"/>
      <c r="V30" s="15"/>
      <c r="W30" s="16"/>
    </row>
    <row r="31" spans="1:25" s="34" customFormat="1">
      <c r="A31" s="30"/>
      <c r="B31" s="31" t="s">
        <v>23</v>
      </c>
      <c r="C31" s="31"/>
      <c r="D31" s="31"/>
      <c r="E31" s="32">
        <f>E30+E23</f>
        <v>186706.12986743002</v>
      </c>
      <c r="F31" s="32">
        <f>F30+F23</f>
        <v>392082.972721603</v>
      </c>
      <c r="G31" s="32">
        <f>G30+G23</f>
        <v>411687.12135768315</v>
      </c>
      <c r="H31" s="32">
        <f>H30+H23</f>
        <v>216135.31371278368</v>
      </c>
      <c r="I31" s="32">
        <f>I30+I23</f>
        <v>219269.33645854786</v>
      </c>
      <c r="J31" s="32">
        <f t="shared" ref="J31:K31" si="29">J30+J23</f>
        <v>371024.62964793778</v>
      </c>
      <c r="K31" s="32">
        <f t="shared" si="29"/>
        <v>250203.40916176117</v>
      </c>
      <c r="L31" s="33">
        <f>SUM(E31:K31)</f>
        <v>2047108.9129277468</v>
      </c>
      <c r="N31" s="35"/>
      <c r="O31" s="89"/>
      <c r="P31" s="52"/>
      <c r="Q31" s="52"/>
      <c r="R31" s="52"/>
      <c r="S31" s="52"/>
      <c r="T31" s="52"/>
      <c r="U31" s="52"/>
      <c r="V31" s="52"/>
      <c r="W31" s="16"/>
    </row>
    <row r="32" spans="1:25">
      <c r="A32" s="23" t="s">
        <v>22</v>
      </c>
      <c r="B32" s="18" t="s">
        <v>45</v>
      </c>
      <c r="C32" s="18"/>
      <c r="D32" s="18"/>
      <c r="E32" s="29"/>
      <c r="F32" s="29"/>
      <c r="G32" s="29"/>
      <c r="H32" s="29"/>
      <c r="I32" s="29"/>
      <c r="J32" s="29"/>
      <c r="K32" s="29"/>
      <c r="L32" s="19"/>
      <c r="N32" s="14"/>
      <c r="O32" s="88"/>
      <c r="P32" s="15"/>
      <c r="Q32" s="15"/>
      <c r="R32" s="15"/>
      <c r="S32" s="15"/>
      <c r="T32" s="15"/>
      <c r="U32" s="15"/>
      <c r="V32" s="15"/>
      <c r="W32" s="16"/>
    </row>
    <row r="33" spans="1:25">
      <c r="A33" s="17"/>
      <c r="B33" s="21"/>
      <c r="C33" s="18"/>
      <c r="D33" s="18"/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19">
        <f t="shared" ref="L33:L38" si="30">SUM(E33:K33)</f>
        <v>0</v>
      </c>
      <c r="N33" s="14"/>
      <c r="O33" s="88"/>
      <c r="P33" s="15"/>
      <c r="Q33" s="15"/>
      <c r="R33" s="15"/>
      <c r="S33" s="15"/>
      <c r="T33" s="15"/>
      <c r="U33" s="15"/>
      <c r="V33" s="15"/>
      <c r="W33" s="16"/>
    </row>
    <row r="34" spans="1:25" hidden="1">
      <c r="A34" s="17"/>
      <c r="B34" s="37"/>
      <c r="C34" s="24"/>
      <c r="D34" s="24"/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19">
        <f t="shared" si="30"/>
        <v>0</v>
      </c>
      <c r="N34" s="14"/>
      <c r="O34" s="88"/>
      <c r="P34" s="15"/>
      <c r="Q34" s="15"/>
      <c r="R34" s="15"/>
      <c r="S34" s="15"/>
      <c r="T34" s="15"/>
      <c r="U34" s="15"/>
      <c r="V34" s="15"/>
      <c r="W34" s="16"/>
    </row>
    <row r="35" spans="1:25">
      <c r="A35" s="17"/>
      <c r="B35" s="18" t="s">
        <v>21</v>
      </c>
      <c r="C35" s="18"/>
      <c r="D35" s="18"/>
      <c r="E35" s="38">
        <f>+E33+E34</f>
        <v>0</v>
      </c>
      <c r="F35" s="38">
        <f t="shared" ref="F35:I35" si="31">+F33+F34</f>
        <v>0</v>
      </c>
      <c r="G35" s="38">
        <f t="shared" si="31"/>
        <v>0</v>
      </c>
      <c r="H35" s="38">
        <f t="shared" si="31"/>
        <v>0</v>
      </c>
      <c r="I35" s="38">
        <f t="shared" si="31"/>
        <v>0</v>
      </c>
      <c r="J35" s="38">
        <f t="shared" ref="J35:K35" si="32">+J33+J34</f>
        <v>0</v>
      </c>
      <c r="K35" s="38">
        <f t="shared" si="32"/>
        <v>0</v>
      </c>
      <c r="L35" s="19">
        <f t="shared" si="30"/>
        <v>0</v>
      </c>
      <c r="N35" s="14"/>
      <c r="O35" s="88"/>
      <c r="P35" s="15"/>
      <c r="Q35" s="15"/>
      <c r="R35" s="15"/>
      <c r="S35" s="15"/>
      <c r="T35" s="15"/>
      <c r="U35" s="15"/>
      <c r="V35" s="15"/>
      <c r="W35" s="16"/>
    </row>
    <row r="36" spans="1:25">
      <c r="A36" s="23" t="s">
        <v>20</v>
      </c>
      <c r="B36" s="18" t="s">
        <v>19</v>
      </c>
      <c r="C36" s="18" t="s">
        <v>43</v>
      </c>
      <c r="D36" s="18"/>
      <c r="E36" s="38">
        <v>2000</v>
      </c>
      <c r="F36" s="38">
        <v>4000</v>
      </c>
      <c r="G36" s="38">
        <v>4000</v>
      </c>
      <c r="H36" s="38">
        <v>1888</v>
      </c>
      <c r="I36" s="38">
        <v>1641.5</v>
      </c>
      <c r="J36" s="38">
        <v>4000</v>
      </c>
      <c r="K36" s="38">
        <v>2000</v>
      </c>
      <c r="L36" s="19">
        <f t="shared" si="30"/>
        <v>19529.5</v>
      </c>
      <c r="N36" s="14"/>
      <c r="O36" s="88"/>
      <c r="P36" s="15"/>
      <c r="Q36" s="15"/>
      <c r="R36" s="15"/>
      <c r="S36" s="15"/>
      <c r="T36" s="15"/>
      <c r="U36" s="15"/>
      <c r="V36" s="15"/>
      <c r="W36" s="16"/>
    </row>
    <row r="37" spans="1:25">
      <c r="A37" s="17"/>
      <c r="B37" s="39"/>
      <c r="C37" s="18" t="s">
        <v>18</v>
      </c>
      <c r="D37" s="18"/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19">
        <f t="shared" si="30"/>
        <v>0</v>
      </c>
      <c r="N37" s="14"/>
      <c r="O37" s="88"/>
      <c r="P37" s="15"/>
      <c r="Q37" s="15"/>
      <c r="R37" s="15"/>
      <c r="S37" s="15"/>
      <c r="T37" s="15"/>
      <c r="U37" s="15"/>
      <c r="V37" s="15"/>
      <c r="W37" s="16"/>
      <c r="Y37" s="127"/>
    </row>
    <row r="38" spans="1:25">
      <c r="A38" s="17"/>
      <c r="B38" s="24" t="s">
        <v>47</v>
      </c>
      <c r="C38" s="24"/>
      <c r="D38" s="24"/>
      <c r="E38" s="22">
        <f>SUM(E36:E37)</f>
        <v>2000</v>
      </c>
      <c r="F38" s="22">
        <f>SUM(F36:F37)</f>
        <v>4000</v>
      </c>
      <c r="G38" s="22">
        <f>SUM(G36:G37)</f>
        <v>4000</v>
      </c>
      <c r="H38" s="22">
        <f>SUM(H36:H37)</f>
        <v>1888</v>
      </c>
      <c r="I38" s="22">
        <f>SUM(I36:I37)</f>
        <v>1641.5</v>
      </c>
      <c r="J38" s="22">
        <f t="shared" ref="J38:K38" si="33">SUM(J36:J37)</f>
        <v>4000</v>
      </c>
      <c r="K38" s="22">
        <f t="shared" si="33"/>
        <v>2000</v>
      </c>
      <c r="L38" s="19">
        <f t="shared" si="30"/>
        <v>19529.5</v>
      </c>
      <c r="N38" s="14"/>
      <c r="O38" s="88"/>
      <c r="P38" s="15"/>
      <c r="Q38" s="15"/>
      <c r="R38" s="15"/>
      <c r="S38" s="15"/>
      <c r="T38" s="15"/>
      <c r="U38" s="15"/>
      <c r="V38" s="15"/>
      <c r="W38" s="16"/>
    </row>
    <row r="39" spans="1:25">
      <c r="A39" s="40" t="s">
        <v>17</v>
      </c>
      <c r="B39" s="39" t="s">
        <v>16</v>
      </c>
      <c r="C39" s="41"/>
      <c r="D39" s="41"/>
      <c r="E39" s="25"/>
      <c r="F39" s="25"/>
      <c r="G39" s="25"/>
      <c r="H39" s="25"/>
      <c r="I39" s="25"/>
      <c r="J39" s="25"/>
      <c r="K39" s="25"/>
      <c r="L39" s="19"/>
      <c r="N39" s="14"/>
      <c r="O39" s="88"/>
      <c r="P39" s="15"/>
      <c r="Q39" s="15"/>
      <c r="R39" s="15"/>
      <c r="S39" s="15"/>
      <c r="T39" s="15"/>
      <c r="U39" s="15"/>
      <c r="V39" s="15"/>
      <c r="W39" s="16"/>
    </row>
    <row r="40" spans="1:25" hidden="1">
      <c r="A40" s="17"/>
      <c r="B40" s="43" t="s">
        <v>282</v>
      </c>
      <c r="C40" s="44">
        <v>0</v>
      </c>
      <c r="D40" s="24"/>
      <c r="E40" s="38"/>
      <c r="F40" s="38">
        <v>0</v>
      </c>
      <c r="G40" s="38">
        <v>0</v>
      </c>
      <c r="H40" s="38">
        <v>0</v>
      </c>
      <c r="I40" s="38">
        <v>0</v>
      </c>
      <c r="J40" s="38"/>
      <c r="K40" s="38"/>
      <c r="L40" s="19">
        <f t="shared" ref="L40:L45" si="34">SUM(E40:K40)</f>
        <v>0</v>
      </c>
      <c r="N40" s="14"/>
      <c r="O40" s="88"/>
      <c r="P40" s="15"/>
      <c r="Q40" s="15"/>
      <c r="R40" s="15"/>
      <c r="S40" s="15"/>
      <c r="T40" s="15"/>
      <c r="U40" s="15"/>
      <c r="V40" s="15"/>
      <c r="W40" s="16"/>
    </row>
    <row r="41" spans="1:25" hidden="1">
      <c r="A41" s="17"/>
      <c r="B41" s="43" t="s">
        <v>283</v>
      </c>
      <c r="C41" s="44"/>
      <c r="D41" s="24"/>
      <c r="E41" s="38"/>
      <c r="F41" s="38"/>
      <c r="G41" s="38"/>
      <c r="H41" s="38"/>
      <c r="I41" s="38"/>
      <c r="J41" s="38"/>
      <c r="K41" s="38"/>
      <c r="L41" s="19">
        <f t="shared" si="34"/>
        <v>0</v>
      </c>
      <c r="N41" s="14"/>
      <c r="O41" s="88"/>
      <c r="P41" s="15"/>
      <c r="Q41" s="15"/>
      <c r="R41" s="15"/>
      <c r="S41" s="15"/>
      <c r="T41" s="15"/>
      <c r="U41" s="15"/>
      <c r="V41" s="15"/>
      <c r="W41" s="16"/>
    </row>
    <row r="42" spans="1:25" hidden="1">
      <c r="A42" s="17"/>
      <c r="B42" s="43" t="s">
        <v>284</v>
      </c>
      <c r="C42" s="44">
        <v>0</v>
      </c>
      <c r="D42" s="24"/>
      <c r="E42" s="38"/>
      <c r="F42" s="38"/>
      <c r="G42" s="38"/>
      <c r="H42" s="38"/>
      <c r="I42" s="38"/>
      <c r="J42" s="38"/>
      <c r="K42" s="38"/>
      <c r="L42" s="19">
        <f t="shared" si="34"/>
        <v>0</v>
      </c>
      <c r="N42" s="14"/>
      <c r="O42" s="88"/>
      <c r="P42" s="15"/>
      <c r="Q42" s="15"/>
      <c r="R42" s="15"/>
      <c r="S42" s="15"/>
      <c r="T42" s="15"/>
      <c r="U42" s="15"/>
      <c r="V42" s="15"/>
      <c r="W42" s="16"/>
    </row>
    <row r="43" spans="1:25" hidden="1">
      <c r="A43" s="17"/>
      <c r="B43" s="45" t="s">
        <v>285</v>
      </c>
      <c r="C43" s="44">
        <v>0</v>
      </c>
      <c r="D43" s="24"/>
      <c r="E43" s="38"/>
      <c r="F43" s="38"/>
      <c r="G43" s="38"/>
      <c r="H43" s="38"/>
      <c r="I43" s="38"/>
      <c r="J43" s="38"/>
      <c r="K43" s="38"/>
      <c r="L43" s="19">
        <f t="shared" si="34"/>
        <v>0</v>
      </c>
      <c r="N43" s="14"/>
      <c r="O43" s="88"/>
      <c r="P43" s="15"/>
      <c r="Q43" s="15"/>
      <c r="R43" s="15"/>
      <c r="S43" s="15"/>
      <c r="T43" s="15"/>
      <c r="U43" s="15"/>
      <c r="V43" s="15"/>
      <c r="W43" s="16"/>
    </row>
    <row r="44" spans="1:25" ht="14.25" hidden="1" customHeight="1">
      <c r="A44" s="17"/>
      <c r="B44" s="24" t="s">
        <v>286</v>
      </c>
      <c r="C44" s="44">
        <v>0</v>
      </c>
      <c r="D44" s="24"/>
      <c r="E44" s="38"/>
      <c r="F44" s="38"/>
      <c r="G44" s="38"/>
      <c r="H44" s="38"/>
      <c r="I44" s="38"/>
      <c r="J44" s="38"/>
      <c r="K44" s="38"/>
      <c r="L44" s="19">
        <f t="shared" si="34"/>
        <v>0</v>
      </c>
      <c r="N44" s="14"/>
      <c r="O44" s="88"/>
      <c r="P44" s="15"/>
      <c r="Q44" s="15"/>
      <c r="R44" s="15"/>
      <c r="S44" s="15"/>
      <c r="T44" s="15"/>
      <c r="U44" s="15"/>
      <c r="V44" s="15"/>
      <c r="W44" s="16"/>
    </row>
    <row r="45" spans="1:25">
      <c r="A45" s="40"/>
      <c r="B45" s="316" t="s">
        <v>11</v>
      </c>
      <c r="C45" s="47"/>
      <c r="D45" s="39"/>
      <c r="E45" s="22">
        <f>SUM(E40:E43)</f>
        <v>0</v>
      </c>
      <c r="F45" s="22">
        <f t="shared" ref="F45:I45" si="35">SUM(F40:F43)</f>
        <v>0</v>
      </c>
      <c r="G45" s="22">
        <f t="shared" si="35"/>
        <v>0</v>
      </c>
      <c r="H45" s="22">
        <f t="shared" si="35"/>
        <v>0</v>
      </c>
      <c r="I45" s="22">
        <f t="shared" si="35"/>
        <v>0</v>
      </c>
      <c r="J45" s="22"/>
      <c r="K45" s="22"/>
      <c r="L45" s="19">
        <f t="shared" si="34"/>
        <v>0</v>
      </c>
      <c r="N45" s="14"/>
      <c r="O45" s="88"/>
      <c r="P45" s="15"/>
      <c r="Q45" s="15"/>
      <c r="R45" s="15"/>
      <c r="S45" s="15"/>
      <c r="T45" s="15"/>
      <c r="U45" s="15"/>
      <c r="V45" s="15"/>
      <c r="W45" s="16"/>
    </row>
    <row r="46" spans="1:25">
      <c r="A46" s="23" t="s">
        <v>10</v>
      </c>
      <c r="B46" s="18" t="s">
        <v>9</v>
      </c>
      <c r="C46" s="18"/>
      <c r="D46" s="18"/>
      <c r="E46" s="25"/>
      <c r="F46" s="25"/>
      <c r="G46" s="25"/>
      <c r="H46" s="25"/>
      <c r="I46" s="25"/>
      <c r="J46" s="25"/>
      <c r="K46" s="25"/>
      <c r="L46" s="19"/>
      <c r="N46" s="14"/>
      <c r="O46" s="88"/>
      <c r="P46" s="15"/>
      <c r="Q46" s="15"/>
      <c r="R46" s="15"/>
      <c r="S46" s="15"/>
      <c r="T46" s="15"/>
      <c r="U46" s="15"/>
      <c r="V46" s="15"/>
      <c r="W46" s="16"/>
    </row>
    <row r="47" spans="1:25">
      <c r="A47" s="17"/>
      <c r="B47" s="21" t="s">
        <v>8</v>
      </c>
      <c r="C47" s="18"/>
      <c r="D47" s="18"/>
      <c r="E47" s="38">
        <v>10000</v>
      </c>
      <c r="F47" s="38">
        <v>28004</v>
      </c>
      <c r="G47" s="38">
        <v>15229.5</v>
      </c>
      <c r="H47" s="38"/>
      <c r="I47" s="38"/>
      <c r="J47" s="38">
        <v>18708</v>
      </c>
      <c r="K47" s="38">
        <v>59</v>
      </c>
      <c r="L47" s="19">
        <f t="shared" ref="L47:L60" si="36">SUM(E47:K47)</f>
        <v>72000.5</v>
      </c>
      <c r="N47" s="14"/>
      <c r="O47" s="88"/>
      <c r="P47" s="15"/>
      <c r="Q47" s="15"/>
      <c r="R47" s="15"/>
      <c r="S47" s="15"/>
      <c r="T47" s="15"/>
      <c r="U47" s="15"/>
      <c r="V47" s="15"/>
      <c r="W47" s="16"/>
    </row>
    <row r="48" spans="1:25">
      <c r="A48" s="17"/>
      <c r="B48" s="21" t="s">
        <v>280</v>
      </c>
      <c r="C48" s="18"/>
      <c r="D48" s="18"/>
      <c r="E48" s="38">
        <v>1009</v>
      </c>
      <c r="F48" s="38">
        <v>3000</v>
      </c>
      <c r="G48" s="38">
        <v>1500</v>
      </c>
      <c r="H48" s="38"/>
      <c r="I48" s="38"/>
      <c r="J48" s="38">
        <v>1500</v>
      </c>
      <c r="K48" s="38">
        <v>1500</v>
      </c>
      <c r="L48" s="19">
        <f t="shared" si="36"/>
        <v>8509</v>
      </c>
      <c r="N48" s="14"/>
      <c r="O48" s="88"/>
      <c r="P48" s="15"/>
      <c r="Q48" s="15"/>
      <c r="R48" s="15"/>
      <c r="S48" s="15"/>
      <c r="T48" s="15"/>
      <c r="U48" s="15"/>
      <c r="V48" s="15"/>
      <c r="W48" s="16"/>
    </row>
    <row r="49" spans="1:23">
      <c r="A49" s="17"/>
      <c r="B49" s="21" t="s">
        <v>7</v>
      </c>
      <c r="C49" s="18"/>
      <c r="D49" s="18"/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/>
      <c r="K49" s="22"/>
      <c r="L49" s="19">
        <f t="shared" si="36"/>
        <v>0</v>
      </c>
      <c r="N49" s="14"/>
      <c r="O49" s="88"/>
      <c r="P49" s="15"/>
      <c r="Q49" s="15"/>
      <c r="R49" s="15"/>
      <c r="S49" s="15"/>
      <c r="T49" s="15"/>
      <c r="U49" s="15"/>
      <c r="V49" s="15"/>
      <c r="W49" s="16"/>
    </row>
    <row r="50" spans="1:23">
      <c r="A50" s="17"/>
      <c r="B50" s="21" t="s">
        <v>287</v>
      </c>
      <c r="C50" s="18"/>
      <c r="D50" s="18"/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/>
      <c r="K50" s="38"/>
      <c r="L50" s="19">
        <f t="shared" si="36"/>
        <v>0</v>
      </c>
      <c r="N50" s="14"/>
      <c r="O50" s="88"/>
      <c r="P50" s="15"/>
      <c r="Q50" s="15"/>
      <c r="R50" s="15"/>
      <c r="S50" s="15"/>
      <c r="T50" s="15"/>
      <c r="U50" s="15"/>
      <c r="V50" s="15"/>
      <c r="W50" s="16"/>
    </row>
    <row r="51" spans="1:23">
      <c r="A51" s="17"/>
      <c r="B51" s="185" t="s">
        <v>202</v>
      </c>
      <c r="C51" s="18"/>
      <c r="D51" s="18" t="s">
        <v>196</v>
      </c>
      <c r="E51" s="38">
        <v>115666.66666666667</v>
      </c>
      <c r="F51" s="38">
        <v>250000</v>
      </c>
      <c r="G51" s="38">
        <v>250000</v>
      </c>
      <c r="H51" s="38">
        <v>125000</v>
      </c>
      <c r="I51" s="38">
        <v>125000</v>
      </c>
      <c r="J51" s="38">
        <v>250000</v>
      </c>
      <c r="K51" s="38">
        <v>125000</v>
      </c>
      <c r="L51" s="19">
        <f t="shared" si="36"/>
        <v>1240666.6666666667</v>
      </c>
      <c r="N51" s="14"/>
      <c r="O51" s="88"/>
      <c r="P51" s="15"/>
      <c r="Q51" s="15"/>
      <c r="R51" s="15"/>
      <c r="S51" s="15"/>
      <c r="T51" s="15"/>
      <c r="U51" s="15"/>
      <c r="V51" s="15"/>
      <c r="W51" s="16"/>
    </row>
    <row r="52" spans="1:23">
      <c r="A52" s="17"/>
      <c r="B52" s="185" t="s">
        <v>194</v>
      </c>
      <c r="C52" s="18"/>
      <c r="D52" s="18" t="s">
        <v>197</v>
      </c>
      <c r="E52" s="38">
        <v>115666.66666666667</v>
      </c>
      <c r="F52" s="38">
        <v>250000</v>
      </c>
      <c r="G52" s="38">
        <v>250000</v>
      </c>
      <c r="H52" s="38">
        <v>125000</v>
      </c>
      <c r="I52" s="38">
        <v>125000</v>
      </c>
      <c r="J52" s="38">
        <v>250000</v>
      </c>
      <c r="K52" s="38">
        <v>125000</v>
      </c>
      <c r="L52" s="19">
        <f t="shared" si="36"/>
        <v>1240666.6666666667</v>
      </c>
      <c r="N52" s="14"/>
      <c r="O52" s="88"/>
      <c r="P52" s="15"/>
      <c r="Q52" s="15"/>
      <c r="R52" s="15"/>
      <c r="S52" s="15"/>
      <c r="T52" s="15"/>
      <c r="U52" s="15"/>
      <c r="V52" s="15"/>
      <c r="W52" s="16"/>
    </row>
    <row r="53" spans="1:23">
      <c r="A53" s="17"/>
      <c r="B53" s="185" t="s">
        <v>195</v>
      </c>
      <c r="C53" s="18"/>
      <c r="D53" s="18" t="s">
        <v>198</v>
      </c>
      <c r="E53" s="38">
        <v>115666.66666666667</v>
      </c>
      <c r="F53" s="38">
        <v>250000</v>
      </c>
      <c r="G53" s="38">
        <v>250000</v>
      </c>
      <c r="H53" s="38">
        <v>125000</v>
      </c>
      <c r="I53" s="38">
        <v>125000</v>
      </c>
      <c r="J53" s="38">
        <v>250000</v>
      </c>
      <c r="K53" s="38">
        <v>125000</v>
      </c>
      <c r="L53" s="19">
        <f t="shared" si="36"/>
        <v>1240666.6666666667</v>
      </c>
      <c r="N53" s="14"/>
      <c r="O53" s="88"/>
      <c r="P53" s="15"/>
      <c r="Q53" s="15"/>
      <c r="R53" s="15"/>
      <c r="S53" s="15"/>
      <c r="T53" s="15"/>
      <c r="U53" s="15"/>
      <c r="V53" s="15"/>
      <c r="W53" s="16"/>
    </row>
    <row r="54" spans="1:23">
      <c r="A54" s="17"/>
      <c r="B54" s="185" t="s">
        <v>255</v>
      </c>
      <c r="C54" s="18"/>
      <c r="D54" s="18" t="s">
        <v>256</v>
      </c>
      <c r="E54" s="38">
        <v>115666.66666666667</v>
      </c>
      <c r="F54" s="38">
        <v>250000</v>
      </c>
      <c r="G54" s="38">
        <v>250000</v>
      </c>
      <c r="H54" s="38">
        <v>125000</v>
      </c>
      <c r="I54" s="38">
        <v>125000</v>
      </c>
      <c r="J54" s="38">
        <v>250000</v>
      </c>
      <c r="K54" s="38">
        <v>125000</v>
      </c>
      <c r="L54" s="19">
        <f t="shared" si="36"/>
        <v>1240666.6666666667</v>
      </c>
      <c r="N54" s="14"/>
      <c r="O54" s="88"/>
      <c r="P54" s="15"/>
      <c r="Q54" s="15"/>
      <c r="R54" s="15"/>
      <c r="S54" s="15"/>
      <c r="T54" s="15"/>
      <c r="U54" s="15"/>
      <c r="V54" s="15"/>
      <c r="W54" s="16"/>
    </row>
    <row r="55" spans="1:23" hidden="1">
      <c r="A55" s="17"/>
      <c r="B55" s="185" t="s">
        <v>324</v>
      </c>
      <c r="C55" s="18"/>
      <c r="D55" s="18"/>
      <c r="E55" s="38"/>
      <c r="F55" s="38"/>
      <c r="G55" s="38"/>
      <c r="H55" s="38"/>
      <c r="I55" s="38"/>
      <c r="J55" s="38"/>
      <c r="K55" s="38"/>
      <c r="L55" s="19"/>
      <c r="N55" s="14"/>
      <c r="O55" s="88"/>
      <c r="P55" s="15"/>
      <c r="Q55" s="15"/>
      <c r="R55" s="15"/>
      <c r="S55" s="15"/>
      <c r="T55" s="15"/>
      <c r="U55" s="15"/>
      <c r="V55" s="15"/>
      <c r="W55" s="16"/>
    </row>
    <row r="56" spans="1:23">
      <c r="A56" s="17"/>
      <c r="B56" s="21" t="s">
        <v>6</v>
      </c>
      <c r="C56" s="48"/>
      <c r="D56" s="186">
        <v>4</v>
      </c>
      <c r="E56" s="38">
        <f>SUM(E51:E55)</f>
        <v>462666.66666666669</v>
      </c>
      <c r="F56" s="38">
        <f t="shared" ref="F56:K56" si="37">SUM(F51:F55)</f>
        <v>1000000</v>
      </c>
      <c r="G56" s="38">
        <f t="shared" si="37"/>
        <v>1000000</v>
      </c>
      <c r="H56" s="38">
        <f t="shared" si="37"/>
        <v>500000</v>
      </c>
      <c r="I56" s="38">
        <f t="shared" si="37"/>
        <v>500000</v>
      </c>
      <c r="J56" s="38">
        <f t="shared" si="37"/>
        <v>1000000</v>
      </c>
      <c r="K56" s="38">
        <f t="shared" si="37"/>
        <v>500000</v>
      </c>
      <c r="L56" s="19">
        <f t="shared" si="36"/>
        <v>4962666.666666667</v>
      </c>
      <c r="N56" s="14"/>
      <c r="O56" s="88"/>
      <c r="P56" s="15"/>
      <c r="Q56" s="15"/>
      <c r="R56" s="15"/>
      <c r="S56" s="15"/>
      <c r="T56" s="15"/>
      <c r="U56" s="15"/>
      <c r="V56" s="15"/>
      <c r="W56" s="16"/>
    </row>
    <row r="57" spans="1:23">
      <c r="A57" s="17"/>
      <c r="B57" s="21" t="s">
        <v>290</v>
      </c>
      <c r="C57" s="48"/>
      <c r="D57" s="309"/>
      <c r="E57" s="38"/>
      <c r="F57" s="38"/>
      <c r="G57" s="38"/>
      <c r="H57" s="38"/>
      <c r="I57" s="38"/>
      <c r="J57" s="38"/>
      <c r="K57" s="38"/>
      <c r="L57" s="19">
        <f t="shared" si="36"/>
        <v>0</v>
      </c>
      <c r="N57" s="14"/>
      <c r="O57" s="88"/>
      <c r="P57" s="15"/>
      <c r="Q57" s="15"/>
      <c r="R57" s="15"/>
      <c r="S57" s="15"/>
      <c r="T57" s="15"/>
      <c r="U57" s="15"/>
      <c r="V57" s="15"/>
      <c r="W57" s="16"/>
    </row>
    <row r="58" spans="1:23">
      <c r="A58" s="17"/>
      <c r="B58" s="21" t="s">
        <v>289</v>
      </c>
      <c r="C58" s="18"/>
      <c r="D58" s="18"/>
      <c r="E58" s="38">
        <f>P58*$O58</f>
        <v>16238</v>
      </c>
      <c r="F58" s="38">
        <f>$O58*$W58*Q58</f>
        <v>34099.800000000003</v>
      </c>
      <c r="G58" s="38">
        <f>$O58*$W58^2*R58</f>
        <v>35804.79</v>
      </c>
      <c r="H58" s="38">
        <f>$O58*$W58^3*S58</f>
        <v>18797.514750000002</v>
      </c>
      <c r="I58" s="38">
        <f>$O58*$W58^4*T58</f>
        <v>19737.390487500001</v>
      </c>
      <c r="J58" s="38">
        <f>$O58*$W58^5*U58</f>
        <v>41448.520023750003</v>
      </c>
      <c r="K58" s="38">
        <f>$O58*$W58^6*V58</f>
        <v>21760.473012468752</v>
      </c>
      <c r="L58" s="19">
        <f t="shared" si="36"/>
        <v>187886.48827371874</v>
      </c>
      <c r="N58" s="49">
        <v>16238</v>
      </c>
      <c r="O58" s="96">
        <f>+N58/12</f>
        <v>1353.1666666666667</v>
      </c>
      <c r="P58" s="50">
        <f>+P17+P18</f>
        <v>12</v>
      </c>
      <c r="Q58" s="50">
        <f t="shared" ref="Q58:T58" si="38">+Q17+Q18</f>
        <v>24</v>
      </c>
      <c r="R58" s="50">
        <f t="shared" si="38"/>
        <v>24</v>
      </c>
      <c r="S58" s="50">
        <f t="shared" si="38"/>
        <v>12</v>
      </c>
      <c r="T58" s="50">
        <f t="shared" si="38"/>
        <v>12</v>
      </c>
      <c r="U58" s="50">
        <f t="shared" ref="U58:V58" si="39">+U17+U18</f>
        <v>24</v>
      </c>
      <c r="V58" s="50">
        <f t="shared" si="39"/>
        <v>12</v>
      </c>
      <c r="W58" s="327">
        <v>1.05</v>
      </c>
    </row>
    <row r="59" spans="1:23">
      <c r="A59" s="17"/>
      <c r="B59" s="308" t="s">
        <v>127</v>
      </c>
      <c r="C59" s="307"/>
      <c r="D59" s="18"/>
      <c r="E59" s="38">
        <f>+P59*$N$59</f>
        <v>2647.68</v>
      </c>
      <c r="F59" s="38">
        <f>+Q59*$N$59*$W$59</f>
        <v>2780.0639999999999</v>
      </c>
      <c r="G59" s="38">
        <f>+R59*$N$59*$W$59^2</f>
        <v>2919.0672</v>
      </c>
      <c r="H59" s="38">
        <f>+S59*$N$59*$W$59^3</f>
        <v>3065.0205599999999</v>
      </c>
      <c r="I59" s="38">
        <f>+T59*$N$59*$W$59^4</f>
        <v>3218.2715879999996</v>
      </c>
      <c r="J59" s="38">
        <f>+U59*$N$59*$W$59^5</f>
        <v>3379.1851674</v>
      </c>
      <c r="K59" s="38">
        <f>+V59*$N$59*$W$59^6</f>
        <v>3548.1444257699995</v>
      </c>
      <c r="L59" s="19">
        <f t="shared" si="36"/>
        <v>21557.432941169998</v>
      </c>
      <c r="N59" s="126">
        <v>2647.68</v>
      </c>
      <c r="O59" s="96"/>
      <c r="P59" s="50">
        <f>IF(P19&gt;=1,1,0)</f>
        <v>1</v>
      </c>
      <c r="Q59" s="50">
        <f t="shared" ref="Q59:T59" si="40">IF(Q19&gt;=1,1,0)</f>
        <v>1</v>
      </c>
      <c r="R59" s="50">
        <f t="shared" si="40"/>
        <v>1</v>
      </c>
      <c r="S59" s="50">
        <f t="shared" si="40"/>
        <v>1</v>
      </c>
      <c r="T59" s="50">
        <f t="shared" si="40"/>
        <v>1</v>
      </c>
      <c r="U59" s="50">
        <f t="shared" ref="U59:V59" si="41">IF(U19&gt;=1,1,0)</f>
        <v>1</v>
      </c>
      <c r="V59" s="50">
        <f t="shared" si="41"/>
        <v>1</v>
      </c>
      <c r="W59" s="327">
        <v>1.05</v>
      </c>
    </row>
    <row r="60" spans="1:23">
      <c r="A60" s="17"/>
      <c r="B60" s="18" t="s">
        <v>48</v>
      </c>
      <c r="C60" s="18"/>
      <c r="D60" s="18"/>
      <c r="E60" s="22">
        <f>SUM(E47:E50,E56:E59)</f>
        <v>492561.34666666668</v>
      </c>
      <c r="F60" s="22">
        <f t="shared" ref="F60:I60" si="42">SUM(F47:F50,F56:F59)</f>
        <v>1067883.8640000001</v>
      </c>
      <c r="G60" s="22">
        <f t="shared" si="42"/>
        <v>1055453.3572</v>
      </c>
      <c r="H60" s="22">
        <f t="shared" si="42"/>
        <v>521862.53530999995</v>
      </c>
      <c r="I60" s="22">
        <f t="shared" si="42"/>
        <v>522955.6620755</v>
      </c>
      <c r="J60" s="22">
        <f t="shared" ref="J60:K60" si="43">SUM(J47:J50,J56:J59)</f>
        <v>1065035.7051911498</v>
      </c>
      <c r="K60" s="22">
        <f t="shared" si="43"/>
        <v>526867.61743823881</v>
      </c>
      <c r="L60" s="19">
        <f t="shared" si="36"/>
        <v>5252620.0878815548</v>
      </c>
      <c r="N60" s="14"/>
      <c r="O60" s="88"/>
      <c r="P60" s="15"/>
      <c r="Q60" s="15"/>
      <c r="R60" s="15"/>
      <c r="S60" s="15"/>
      <c r="T60" s="15"/>
      <c r="U60" s="15"/>
      <c r="V60" s="15"/>
      <c r="W60" s="16"/>
    </row>
    <row r="61" spans="1:23" s="34" customFormat="1">
      <c r="A61" s="51" t="s">
        <v>5</v>
      </c>
      <c r="B61" s="31" t="s">
        <v>4</v>
      </c>
      <c r="C61" s="31"/>
      <c r="D61" s="31"/>
      <c r="E61" s="32">
        <f>E31+E35+E45+E60+E38</f>
        <v>681267.47653409676</v>
      </c>
      <c r="F61" s="32">
        <f t="shared" ref="F61:I61" si="44">F31+F35+F45+F60+F36+F37</f>
        <v>1463966.8367216031</v>
      </c>
      <c r="G61" s="32">
        <f t="shared" si="44"/>
        <v>1471140.4785576831</v>
      </c>
      <c r="H61" s="32">
        <f t="shared" si="44"/>
        <v>739885.84902278357</v>
      </c>
      <c r="I61" s="32">
        <f t="shared" si="44"/>
        <v>743866.49853404786</v>
      </c>
      <c r="J61" s="32">
        <f>J31+J35+J45+J60+J36+J37</f>
        <v>1440060.3348390877</v>
      </c>
      <c r="K61" s="32">
        <f t="shared" ref="K61" si="45">K31+K35+K45+K60+K36+K37</f>
        <v>779071.02659999998</v>
      </c>
      <c r="L61" s="33">
        <f>SUM(E61:K61)</f>
        <v>7319258.5008093026</v>
      </c>
      <c r="N61" s="35"/>
      <c r="O61" s="89"/>
      <c r="P61" s="52"/>
      <c r="Q61" s="52"/>
      <c r="R61" s="52"/>
      <c r="S61" s="52"/>
      <c r="T61" s="52"/>
      <c r="U61" s="52"/>
      <c r="V61" s="52"/>
      <c r="W61" s="53"/>
    </row>
    <row r="62" spans="1:23">
      <c r="A62" s="285"/>
      <c r="B62" s="54" t="s">
        <v>291</v>
      </c>
      <c r="C62" s="54"/>
      <c r="D62" s="54"/>
      <c r="E62" s="56">
        <f>+IF(E56&gt;=25000,E61-E58-E59-E35-E56-E45+25000*D56,E61-E58-E59-E35-E45)</f>
        <v>299715.12986743002</v>
      </c>
      <c r="F62" s="56">
        <f>+F61-F58-F35-F56-F45-F59</f>
        <v>427086.972721603</v>
      </c>
      <c r="G62" s="56">
        <f t="shared" ref="G62:K62" si="46">+G61-G58-G35-G56-G45-G59</f>
        <v>432416.62135768303</v>
      </c>
      <c r="H62" s="56">
        <f t="shared" si="46"/>
        <v>218023.31371278359</v>
      </c>
      <c r="I62" s="56">
        <f t="shared" si="46"/>
        <v>220910.83645854786</v>
      </c>
      <c r="J62" s="56">
        <f>+J61-J58-J35-J56-J45-J59</f>
        <v>395232.62964793778</v>
      </c>
      <c r="K62" s="56">
        <f t="shared" si="46"/>
        <v>253762.4091617612</v>
      </c>
      <c r="L62" s="57">
        <f>SUM(E62:K62)</f>
        <v>2247147.9129277468</v>
      </c>
      <c r="N62" s="14"/>
      <c r="O62" s="88"/>
      <c r="P62" s="15"/>
      <c r="Q62" s="15"/>
      <c r="R62" s="15"/>
      <c r="S62" s="15"/>
      <c r="T62" s="15"/>
      <c r="U62" s="15"/>
      <c r="V62" s="15"/>
      <c r="W62" s="16"/>
    </row>
    <row r="63" spans="1:23">
      <c r="A63" s="51" t="s">
        <v>3</v>
      </c>
      <c r="B63" s="58" t="s">
        <v>2</v>
      </c>
      <c r="C63" s="58"/>
      <c r="D63" s="124"/>
      <c r="E63" s="25"/>
      <c r="F63" s="25"/>
      <c r="G63" s="25"/>
      <c r="H63" s="25"/>
      <c r="I63" s="25"/>
      <c r="J63" s="25"/>
      <c r="K63" s="25"/>
      <c r="L63" s="314"/>
      <c r="N63" s="14"/>
      <c r="O63" s="88"/>
      <c r="P63" s="15"/>
      <c r="Q63" s="15"/>
      <c r="R63" s="15"/>
      <c r="S63" s="15"/>
      <c r="T63" s="15"/>
      <c r="U63" s="15"/>
      <c r="V63" s="15"/>
      <c r="W63" s="16"/>
    </row>
    <row r="64" spans="1:23" s="34" customFormat="1">
      <c r="A64" s="315"/>
      <c r="B64" s="405" t="s">
        <v>293</v>
      </c>
      <c r="C64" s="405"/>
      <c r="D64" s="124">
        <f>VLOOKUP(B64,Fringe!$A$27:$B$35,2,0)</f>
        <v>0.55000000000000004</v>
      </c>
      <c r="E64" s="125">
        <f>+E62*$D$64</f>
        <v>164843.32142708651</v>
      </c>
      <c r="F64" s="125"/>
      <c r="G64" s="125"/>
      <c r="H64" s="125"/>
      <c r="I64" s="125"/>
      <c r="J64" s="125"/>
      <c r="K64" s="125"/>
      <c r="L64" s="60">
        <f>SUM(E64:K64)</f>
        <v>164843.32142708651</v>
      </c>
      <c r="N64" s="35"/>
      <c r="O64" s="89"/>
      <c r="P64" s="52"/>
      <c r="Q64" s="52"/>
      <c r="R64" s="52"/>
      <c r="S64" s="52"/>
      <c r="T64" s="52"/>
      <c r="U64" s="52"/>
      <c r="V64" s="52"/>
      <c r="W64" s="303">
        <v>0</v>
      </c>
    </row>
    <row r="65" spans="1:23" s="34" customFormat="1" ht="15" thickBot="1">
      <c r="A65" s="30"/>
      <c r="B65" s="405" t="s">
        <v>294</v>
      </c>
      <c r="C65" s="405"/>
      <c r="D65" s="124">
        <f>VLOOKUP(B65,Fringe!$A$27:$B$35,2,0)</f>
        <v>0.56000000000000005</v>
      </c>
      <c r="E65" s="125"/>
      <c r="F65" s="125">
        <f>+F62*$D$65</f>
        <v>239168.70472409771</v>
      </c>
      <c r="G65" s="125">
        <f t="shared" ref="G65:I65" si="47">+G62*$D$65</f>
        <v>242153.30796030251</v>
      </c>
      <c r="H65" s="125">
        <f t="shared" si="47"/>
        <v>122093.05567915883</v>
      </c>
      <c r="I65" s="125">
        <f t="shared" si="47"/>
        <v>123710.06841678682</v>
      </c>
      <c r="J65" s="125">
        <f t="shared" ref="J65:K65" si="48">+J62*$D$65</f>
        <v>221330.27260284519</v>
      </c>
      <c r="K65" s="125">
        <f t="shared" si="48"/>
        <v>142106.94913058629</v>
      </c>
      <c r="L65" s="60">
        <f>SUM(E65:K65)</f>
        <v>1090562.3585137774</v>
      </c>
      <c r="N65" s="35"/>
      <c r="O65" s="89"/>
      <c r="P65" s="52"/>
      <c r="Q65" s="52"/>
      <c r="R65" s="52"/>
      <c r="S65" s="52"/>
      <c r="T65" s="52"/>
      <c r="U65" s="52"/>
      <c r="V65" s="52"/>
      <c r="W65" s="303"/>
    </row>
    <row r="66" spans="1:23" s="34" customFormat="1" ht="22" customHeight="1" thickBot="1">
      <c r="A66" s="62" t="s">
        <v>1</v>
      </c>
      <c r="B66" s="63" t="s">
        <v>0</v>
      </c>
      <c r="C66" s="63"/>
      <c r="D66" s="63"/>
      <c r="E66" s="64">
        <f>E64+E61+E65</f>
        <v>846110.79796118324</v>
      </c>
      <c r="F66" s="64">
        <f t="shared" ref="F66:I66" si="49">F64+F61+F65</f>
        <v>1703135.5414457007</v>
      </c>
      <c r="G66" s="64">
        <f t="shared" si="49"/>
        <v>1713293.7865179856</v>
      </c>
      <c r="H66" s="64">
        <f t="shared" si="49"/>
        <v>861978.90470194235</v>
      </c>
      <c r="I66" s="64">
        <f t="shared" si="49"/>
        <v>867576.56695083471</v>
      </c>
      <c r="J66" s="64">
        <f t="shared" ref="J66:K66" si="50">J64+J61+J65</f>
        <v>1661390.6074419329</v>
      </c>
      <c r="K66" s="64">
        <f t="shared" si="50"/>
        <v>921177.97573058633</v>
      </c>
      <c r="L66" s="301">
        <f>SUM(E66:K66)</f>
        <v>8574664.1807501651</v>
      </c>
      <c r="M66" s="65"/>
      <c r="N66" s="272"/>
      <c r="O66" s="304"/>
      <c r="P66" s="273"/>
      <c r="Q66" s="273"/>
      <c r="R66" s="273"/>
      <c r="S66" s="273"/>
      <c r="T66" s="273"/>
      <c r="U66" s="273"/>
      <c r="V66" s="273"/>
      <c r="W66" s="305"/>
    </row>
    <row r="67" spans="1:23">
      <c r="E67" s="67"/>
      <c r="F67" s="67"/>
      <c r="G67" s="67"/>
      <c r="H67" s="67"/>
      <c r="I67" s="67"/>
      <c r="J67" s="67"/>
      <c r="K67" s="67"/>
      <c r="L67" s="67"/>
    </row>
    <row r="68" spans="1:23">
      <c r="A68" s="24"/>
      <c r="B68" s="194" t="s">
        <v>201</v>
      </c>
      <c r="C68" s="190" t="s">
        <v>200</v>
      </c>
      <c r="D68" s="190"/>
      <c r="E68" s="129">
        <f>(E61-E58-E59-E35-E45-E56)*D64+E61-E56</f>
        <v>328444.13129451656</v>
      </c>
      <c r="F68" s="129">
        <f>(F61-F58-F59-F35-F45-F56)*$D$65+F61-F56</f>
        <v>703135.54144570068</v>
      </c>
      <c r="G68" s="129">
        <f t="shared" ref="G68:K68" si="51">(G61-G58-G59-G35-G45-G56)*$D$65+G61-G56</f>
        <v>713293.78651798563</v>
      </c>
      <c r="H68" s="129">
        <f t="shared" si="51"/>
        <v>361978.90470194246</v>
      </c>
      <c r="I68" s="129">
        <f t="shared" si="51"/>
        <v>367576.56695083471</v>
      </c>
      <c r="J68" s="129">
        <f t="shared" si="51"/>
        <v>661390.60744193289</v>
      </c>
      <c r="K68" s="129">
        <f t="shared" si="51"/>
        <v>421177.97573058621</v>
      </c>
      <c r="L68" s="129">
        <f t="shared" ref="L68:L73" si="52">SUM(E68:K68)</f>
        <v>3556997.5140834996</v>
      </c>
    </row>
    <row r="69" spans="1:23">
      <c r="A69" s="24"/>
      <c r="B69" s="190"/>
      <c r="C69" s="190" t="s">
        <v>203</v>
      </c>
      <c r="D69" s="190"/>
      <c r="E69" s="129">
        <f>25000*D56*D64</f>
        <v>55000.000000000007</v>
      </c>
      <c r="F69" s="129"/>
      <c r="G69" s="129"/>
      <c r="H69" s="129"/>
      <c r="I69" s="129"/>
      <c r="J69" s="129"/>
      <c r="K69" s="129"/>
      <c r="L69" s="129">
        <f t="shared" si="52"/>
        <v>55000.000000000007</v>
      </c>
    </row>
    <row r="70" spans="1:23">
      <c r="B70" s="191" t="s">
        <v>202</v>
      </c>
      <c r="C70" s="190" t="s">
        <v>196</v>
      </c>
      <c r="D70" s="190"/>
      <c r="E70" s="129">
        <v>115666.66666666667</v>
      </c>
      <c r="F70" s="129">
        <v>250000</v>
      </c>
      <c r="G70" s="129">
        <v>250000</v>
      </c>
      <c r="H70" s="129">
        <v>125000</v>
      </c>
      <c r="I70" s="129">
        <v>125000</v>
      </c>
      <c r="J70" s="129">
        <v>250000</v>
      </c>
      <c r="K70" s="129">
        <v>125000</v>
      </c>
      <c r="L70" s="129">
        <f t="shared" si="52"/>
        <v>1240666.6666666667</v>
      </c>
    </row>
    <row r="71" spans="1:23">
      <c r="B71" s="191" t="s">
        <v>194</v>
      </c>
      <c r="C71" s="190" t="s">
        <v>197</v>
      </c>
      <c r="D71" s="190"/>
      <c r="E71" s="129">
        <v>115666.66666666667</v>
      </c>
      <c r="F71" s="129">
        <v>250000</v>
      </c>
      <c r="G71" s="129">
        <v>250000</v>
      </c>
      <c r="H71" s="129">
        <v>125000</v>
      </c>
      <c r="I71" s="129">
        <v>125000</v>
      </c>
      <c r="J71" s="129">
        <v>250000</v>
      </c>
      <c r="K71" s="129">
        <v>125000</v>
      </c>
      <c r="L71" s="129">
        <f t="shared" si="52"/>
        <v>1240666.6666666667</v>
      </c>
    </row>
    <row r="72" spans="1:23">
      <c r="B72" s="191" t="s">
        <v>195</v>
      </c>
      <c r="C72" s="190" t="s">
        <v>198</v>
      </c>
      <c r="D72" s="190"/>
      <c r="E72" s="129">
        <v>115666.66666666667</v>
      </c>
      <c r="F72" s="129">
        <v>250000</v>
      </c>
      <c r="G72" s="129">
        <v>250000</v>
      </c>
      <c r="H72" s="129">
        <v>125000</v>
      </c>
      <c r="I72" s="129">
        <v>125000</v>
      </c>
      <c r="J72" s="129">
        <v>250000</v>
      </c>
      <c r="K72" s="129">
        <v>125000</v>
      </c>
      <c r="L72" s="129">
        <f t="shared" si="52"/>
        <v>1240666.6666666667</v>
      </c>
    </row>
    <row r="73" spans="1:23">
      <c r="B73" s="191" t="s">
        <v>255</v>
      </c>
      <c r="C73" s="190" t="s">
        <v>256</v>
      </c>
      <c r="D73" s="190"/>
      <c r="E73" s="129">
        <v>115666.66666666667</v>
      </c>
      <c r="F73" s="129">
        <v>250000</v>
      </c>
      <c r="G73" s="129">
        <v>250000</v>
      </c>
      <c r="H73" s="129">
        <v>125000</v>
      </c>
      <c r="I73" s="129">
        <v>125000</v>
      </c>
      <c r="J73" s="129">
        <v>250000</v>
      </c>
      <c r="K73" s="129">
        <v>125000</v>
      </c>
      <c r="L73" s="129">
        <f t="shared" si="52"/>
        <v>1240666.6666666667</v>
      </c>
    </row>
    <row r="74" spans="1:23" s="34" customFormat="1">
      <c r="B74" s="192" t="s">
        <v>97</v>
      </c>
      <c r="C74" s="192"/>
      <c r="D74" s="192"/>
      <c r="E74" s="193">
        <f>SUM(E68:E73)</f>
        <v>846110.79796118313</v>
      </c>
      <c r="F74" s="193">
        <f t="shared" ref="F74:L74" si="53">SUM(F68:F73)</f>
        <v>1703135.5414457007</v>
      </c>
      <c r="G74" s="193">
        <f t="shared" si="53"/>
        <v>1713293.7865179856</v>
      </c>
      <c r="H74" s="193">
        <f t="shared" si="53"/>
        <v>861978.90470194246</v>
      </c>
      <c r="I74" s="193">
        <f t="shared" si="53"/>
        <v>867576.56695083471</v>
      </c>
      <c r="J74" s="193">
        <f t="shared" si="53"/>
        <v>1661390.6074419329</v>
      </c>
      <c r="K74" s="193">
        <f t="shared" si="53"/>
        <v>921177.97573058621</v>
      </c>
      <c r="L74" s="193">
        <f t="shared" si="53"/>
        <v>8574664.180750167</v>
      </c>
      <c r="N74" s="66"/>
      <c r="O74" s="66"/>
    </row>
    <row r="76" spans="1:23" ht="15.5">
      <c r="C76" s="243" t="s">
        <v>242</v>
      </c>
      <c r="D76"/>
      <c r="E76"/>
      <c r="F76"/>
      <c r="G76"/>
      <c r="H76"/>
      <c r="I76"/>
      <c r="J76"/>
      <c r="K76"/>
      <c r="L76"/>
    </row>
    <row r="77" spans="1:23">
      <c r="C77" s="244"/>
      <c r="D77" s="244"/>
      <c r="E77" s="245" t="s">
        <v>142</v>
      </c>
      <c r="F77" s="245" t="s">
        <v>141</v>
      </c>
      <c r="G77" s="245" t="s">
        <v>140</v>
      </c>
      <c r="H77" s="245" t="s">
        <v>139</v>
      </c>
      <c r="I77" s="245" t="s">
        <v>138</v>
      </c>
      <c r="J77" s="245" t="s">
        <v>137</v>
      </c>
      <c r="K77" s="245" t="s">
        <v>136</v>
      </c>
      <c r="L77" s="245" t="s">
        <v>135</v>
      </c>
    </row>
    <row r="78" spans="1:23" ht="43.5">
      <c r="B78" s="73"/>
      <c r="C78" s="245"/>
      <c r="D78" s="245"/>
      <c r="E78" s="246" t="s">
        <v>257</v>
      </c>
      <c r="F78" s="246" t="s">
        <v>134</v>
      </c>
      <c r="G78" s="246" t="s">
        <v>133</v>
      </c>
      <c r="H78" s="246" t="s">
        <v>132</v>
      </c>
      <c r="I78" s="246" t="s">
        <v>131</v>
      </c>
      <c r="J78" s="246" t="s">
        <v>130</v>
      </c>
      <c r="K78" s="246" t="s">
        <v>129</v>
      </c>
      <c r="L78" s="245" t="s">
        <v>128</v>
      </c>
    </row>
    <row r="79" spans="1:23">
      <c r="C79" s="247" t="s">
        <v>236</v>
      </c>
      <c r="D79" s="247"/>
      <c r="E79" s="128">
        <f>+(750000-25000*4*0.56)/6</f>
        <v>115666.66666666667</v>
      </c>
      <c r="F79" s="128">
        <f>1500000/6</f>
        <v>250000</v>
      </c>
      <c r="G79" s="128">
        <f t="shared" ref="G79:G80" si="54">1500000/6</f>
        <v>250000</v>
      </c>
      <c r="H79" s="128">
        <f>+(750000)/6</f>
        <v>125000</v>
      </c>
      <c r="I79" s="128">
        <f t="shared" ref="I79:I80" si="55">+(750000)/6</f>
        <v>125000</v>
      </c>
      <c r="J79" s="128">
        <f t="shared" ref="J79:J80" si="56">1500000/6</f>
        <v>250000</v>
      </c>
      <c r="K79" s="128">
        <f t="shared" ref="K79:K80" si="57">+(750000)/6</f>
        <v>125000</v>
      </c>
      <c r="L79" s="129">
        <f t="shared" ref="L79:L85" si="58">SUM(E79:K79)</f>
        <v>1240666.6666666667</v>
      </c>
    </row>
    <row r="80" spans="1:23">
      <c r="C80" s="247" t="s">
        <v>241</v>
      </c>
      <c r="D80" s="247"/>
      <c r="E80" s="128">
        <f>+(750000-25000*4*0.56)/6</f>
        <v>115666.66666666667</v>
      </c>
      <c r="F80" s="128">
        <f>1500000/6</f>
        <v>250000</v>
      </c>
      <c r="G80" s="128">
        <f t="shared" si="54"/>
        <v>250000</v>
      </c>
      <c r="H80" s="128">
        <f>+(750000)/6</f>
        <v>125000</v>
      </c>
      <c r="I80" s="128">
        <f t="shared" si="55"/>
        <v>125000</v>
      </c>
      <c r="J80" s="128">
        <f t="shared" si="56"/>
        <v>250000</v>
      </c>
      <c r="K80" s="128">
        <f t="shared" si="57"/>
        <v>125000</v>
      </c>
      <c r="L80" s="129">
        <f t="shared" si="58"/>
        <v>1240666.6666666667</v>
      </c>
    </row>
    <row r="81" spans="3:12">
      <c r="C81" s="247" t="s">
        <v>203</v>
      </c>
      <c r="D81" s="247"/>
      <c r="E81" s="128">
        <f>25000*4*0.56</f>
        <v>56000.000000000007</v>
      </c>
      <c r="F81" s="128"/>
      <c r="G81" s="128"/>
      <c r="H81" s="128"/>
      <c r="I81" s="129"/>
      <c r="J81" s="129"/>
      <c r="K81" s="129"/>
      <c r="L81" s="129">
        <f t="shared" si="58"/>
        <v>56000.000000000007</v>
      </c>
    </row>
    <row r="82" spans="3:12">
      <c r="C82" s="190" t="s">
        <v>237</v>
      </c>
      <c r="D82" s="190"/>
      <c r="E82" s="128">
        <f t="shared" ref="E82:E85" si="59">+(750000-25000*4*0.56)/6</f>
        <v>115666.66666666667</v>
      </c>
      <c r="F82" s="128">
        <f t="shared" ref="F82:G85" si="60">1500000/6</f>
        <v>250000</v>
      </c>
      <c r="G82" s="128">
        <f t="shared" si="60"/>
        <v>250000</v>
      </c>
      <c r="H82" s="128">
        <f t="shared" ref="H82:I85" si="61">+(750000)/6</f>
        <v>125000</v>
      </c>
      <c r="I82" s="128">
        <f t="shared" si="61"/>
        <v>125000</v>
      </c>
      <c r="J82" s="128">
        <f t="shared" ref="J82:J85" si="62">1500000/6</f>
        <v>250000</v>
      </c>
      <c r="K82" s="128">
        <f t="shared" ref="K82:K85" si="63">+(750000)/6</f>
        <v>125000</v>
      </c>
      <c r="L82" s="129">
        <f t="shared" si="58"/>
        <v>1240666.6666666667</v>
      </c>
    </row>
    <row r="83" spans="3:12">
      <c r="C83" s="190" t="s">
        <v>238</v>
      </c>
      <c r="D83" s="190"/>
      <c r="E83" s="128">
        <f t="shared" si="59"/>
        <v>115666.66666666667</v>
      </c>
      <c r="F83" s="128">
        <f t="shared" si="60"/>
        <v>250000</v>
      </c>
      <c r="G83" s="128">
        <f t="shared" si="60"/>
        <v>250000</v>
      </c>
      <c r="H83" s="128">
        <f t="shared" si="61"/>
        <v>125000</v>
      </c>
      <c r="I83" s="128">
        <f t="shared" si="61"/>
        <v>125000</v>
      </c>
      <c r="J83" s="128">
        <f t="shared" si="62"/>
        <v>250000</v>
      </c>
      <c r="K83" s="128">
        <f t="shared" si="63"/>
        <v>125000</v>
      </c>
      <c r="L83" s="129">
        <f t="shared" si="58"/>
        <v>1240666.6666666667</v>
      </c>
    </row>
    <row r="84" spans="3:12">
      <c r="C84" s="190" t="s">
        <v>239</v>
      </c>
      <c r="D84" s="190"/>
      <c r="E84" s="128">
        <f t="shared" si="59"/>
        <v>115666.66666666667</v>
      </c>
      <c r="F84" s="128">
        <f t="shared" si="60"/>
        <v>250000</v>
      </c>
      <c r="G84" s="128">
        <f t="shared" si="60"/>
        <v>250000</v>
      </c>
      <c r="H84" s="128">
        <f t="shared" si="61"/>
        <v>125000</v>
      </c>
      <c r="I84" s="128">
        <f t="shared" si="61"/>
        <v>125000</v>
      </c>
      <c r="J84" s="128">
        <f t="shared" si="62"/>
        <v>250000</v>
      </c>
      <c r="K84" s="128">
        <f t="shared" si="63"/>
        <v>125000</v>
      </c>
      <c r="L84" s="129">
        <f t="shared" si="58"/>
        <v>1240666.6666666667</v>
      </c>
    </row>
    <row r="85" spans="3:12">
      <c r="C85" s="190" t="s">
        <v>240</v>
      </c>
      <c r="D85" s="190"/>
      <c r="E85" s="128">
        <f t="shared" si="59"/>
        <v>115666.66666666667</v>
      </c>
      <c r="F85" s="128">
        <f t="shared" si="60"/>
        <v>250000</v>
      </c>
      <c r="G85" s="128">
        <f t="shared" si="60"/>
        <v>250000</v>
      </c>
      <c r="H85" s="128">
        <f t="shared" si="61"/>
        <v>125000</v>
      </c>
      <c r="I85" s="128">
        <f t="shared" si="61"/>
        <v>125000</v>
      </c>
      <c r="J85" s="128">
        <f t="shared" si="62"/>
        <v>250000</v>
      </c>
      <c r="K85" s="128">
        <f t="shared" si="63"/>
        <v>125000</v>
      </c>
      <c r="L85" s="129">
        <f t="shared" si="58"/>
        <v>1240666.6666666667</v>
      </c>
    </row>
    <row r="86" spans="3:12">
      <c r="C86" s="248" t="s">
        <v>115</v>
      </c>
      <c r="D86" s="248"/>
      <c r="E86" s="249">
        <f t="shared" ref="E86:K86" si="64">SUM(E79:E85)</f>
        <v>750000</v>
      </c>
      <c r="F86" s="249">
        <f t="shared" si="64"/>
        <v>1500000</v>
      </c>
      <c r="G86" s="250">
        <f t="shared" si="64"/>
        <v>1500000</v>
      </c>
      <c r="H86" s="250">
        <f t="shared" si="64"/>
        <v>750000</v>
      </c>
      <c r="I86" s="250">
        <f t="shared" si="64"/>
        <v>750000</v>
      </c>
      <c r="J86" s="250">
        <f t="shared" si="64"/>
        <v>1500000</v>
      </c>
      <c r="K86" s="250">
        <f t="shared" si="64"/>
        <v>750000</v>
      </c>
      <c r="L86" s="249">
        <f>SUM(E86:K86)</f>
        <v>7500000</v>
      </c>
    </row>
  </sheetData>
  <mergeCells count="3">
    <mergeCell ref="E4:L4"/>
    <mergeCell ref="B64:C64"/>
    <mergeCell ref="B65:C65"/>
  </mergeCells>
  <phoneticPr fontId="24" type="noConversion"/>
  <pageMargins left="0.25" right="0.25" top="0.5" bottom="0.5" header="0.3" footer="0.3"/>
  <pageSetup scale="60" fitToHeight="2" orientation="landscape" horizontalDpi="4294967293" verticalDpi="4294967293" r:id="rId1"/>
  <headerFooter alignWithMargins="0">
    <oddHeader>&amp;A</oddHeader>
    <oddFooter>Page &amp;P of &amp;N</oddFooter>
  </headerFooter>
  <rowBreaks count="1" manualBreakCount="1">
    <brk id="66" max="2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4EC0BE-FF95-496E-B94F-5F5DFB103E3F}">
          <x14:formula1>
            <xm:f>Fringe!$A$27:$A$35</xm:f>
          </x14:formula1>
          <xm:sqref>B64:B65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0C69-3C86-4308-8E79-D906D2C8E598}">
  <sheetPr>
    <pageSetUpPr fitToPage="1"/>
  </sheetPr>
  <dimension ref="A1:WVW79"/>
  <sheetViews>
    <sheetView zoomScale="81" zoomScaleNormal="81" workbookViewId="0">
      <pane xSplit="3" ySplit="5" topLeftCell="D14" activePane="bottomRight" state="frozen"/>
      <selection activeCell="D10" sqref="D10"/>
      <selection pane="topRight" activeCell="D10" sqref="D10"/>
      <selection pane="bottomLeft" activeCell="D10" sqref="D10"/>
      <selection pane="bottomRight" activeCell="B55" sqref="B55:J55"/>
    </sheetView>
  </sheetViews>
  <sheetFormatPr defaultColWidth="8.90625" defaultRowHeight="14.5"/>
  <cols>
    <col min="1" max="1" width="3.90625" style="2" customWidth="1"/>
    <col min="2" max="2" width="12.90625" style="2" customWidth="1"/>
    <col min="3" max="3" width="12.36328125" style="2" customWidth="1"/>
    <col min="4" max="4" width="14.81640625" style="2" customWidth="1"/>
    <col min="5" max="5" width="14" style="2" bestFit="1" customWidth="1"/>
    <col min="6" max="6" width="13.453125" style="2" customWidth="1"/>
    <col min="7" max="7" width="13.36328125" style="2" customWidth="1"/>
    <col min="8" max="8" width="12.6328125" style="2" customWidth="1"/>
    <col min="9" max="9" width="14.90625" style="2" hidden="1" customWidth="1"/>
    <col min="10" max="10" width="14.453125" style="2" customWidth="1"/>
    <col min="11" max="11" width="3.90625" style="2" customWidth="1"/>
    <col min="12" max="13" width="12.36328125" style="3" customWidth="1"/>
    <col min="14" max="17" width="8" style="2" customWidth="1"/>
    <col min="18" max="18" width="8" style="2" hidden="1" customWidth="1"/>
    <col min="19" max="19" width="7.90625" style="2" bestFit="1" customWidth="1"/>
    <col min="20" max="20" width="3.90625" style="2" customWidth="1"/>
    <col min="21" max="23" width="11" style="2" customWidth="1"/>
    <col min="24" max="24" width="8.90625" style="2"/>
    <col min="25" max="25" width="6.90625" style="2" customWidth="1"/>
    <col min="26" max="26" width="11.54296875" style="2" bestFit="1" customWidth="1"/>
    <col min="27" max="27" width="11.453125" style="2" bestFit="1" customWidth="1"/>
    <col min="28" max="248" width="8.90625" style="2"/>
    <col min="249" max="249" width="3.90625" style="2" customWidth="1"/>
    <col min="250" max="250" width="8.90625" style="2"/>
    <col min="251" max="251" width="14.453125" style="2" customWidth="1"/>
    <col min="252" max="252" width="38.6328125" style="2" customWidth="1"/>
    <col min="253" max="257" width="14" style="2" bestFit="1" customWidth="1"/>
    <col min="258" max="258" width="10.453125" style="2" bestFit="1" customWidth="1"/>
    <col min="259" max="259" width="8.90625" style="2"/>
    <col min="260" max="260" width="11.36328125" style="2" bestFit="1" customWidth="1"/>
    <col min="261" max="261" width="5.453125" style="2" bestFit="1" customWidth="1"/>
    <col min="262" max="265" width="5" style="2" bestFit="1" customWidth="1"/>
    <col min="266" max="266" width="7.453125" style="2" bestFit="1" customWidth="1"/>
    <col min="267" max="267" width="10.453125" style="2" bestFit="1" customWidth="1"/>
    <col min="268" max="268" width="8.90625" style="2"/>
    <col min="269" max="270" width="12.453125" style="2" bestFit="1" customWidth="1"/>
    <col min="271" max="271" width="14" style="2" bestFit="1" customWidth="1"/>
    <col min="272" max="504" width="8.90625" style="2"/>
    <col min="505" max="505" width="3.90625" style="2" customWidth="1"/>
    <col min="506" max="506" width="8.90625" style="2"/>
    <col min="507" max="507" width="14.453125" style="2" customWidth="1"/>
    <col min="508" max="508" width="38.6328125" style="2" customWidth="1"/>
    <col min="509" max="513" width="14" style="2" bestFit="1" customWidth="1"/>
    <col min="514" max="514" width="10.453125" style="2" bestFit="1" customWidth="1"/>
    <col min="515" max="515" width="8.90625" style="2"/>
    <col min="516" max="516" width="11.36328125" style="2" bestFit="1" customWidth="1"/>
    <col min="517" max="517" width="5.453125" style="2" bestFit="1" customWidth="1"/>
    <col min="518" max="521" width="5" style="2" bestFit="1" customWidth="1"/>
    <col min="522" max="522" width="7.453125" style="2" bestFit="1" customWidth="1"/>
    <col min="523" max="523" width="10.453125" style="2" bestFit="1" customWidth="1"/>
    <col min="524" max="524" width="8.90625" style="2"/>
    <col min="525" max="526" width="12.453125" style="2" bestFit="1" customWidth="1"/>
    <col min="527" max="527" width="14" style="2" bestFit="1" customWidth="1"/>
    <col min="528" max="760" width="8.90625" style="2"/>
    <col min="761" max="761" width="3.90625" style="2" customWidth="1"/>
    <col min="762" max="762" width="8.90625" style="2"/>
    <col min="763" max="763" width="14.453125" style="2" customWidth="1"/>
    <col min="764" max="764" width="38.6328125" style="2" customWidth="1"/>
    <col min="765" max="769" width="14" style="2" bestFit="1" customWidth="1"/>
    <col min="770" max="770" width="10.453125" style="2" bestFit="1" customWidth="1"/>
    <col min="771" max="771" width="8.90625" style="2"/>
    <col min="772" max="772" width="11.36328125" style="2" bestFit="1" customWidth="1"/>
    <col min="773" max="773" width="5.453125" style="2" bestFit="1" customWidth="1"/>
    <col min="774" max="777" width="5" style="2" bestFit="1" customWidth="1"/>
    <col min="778" max="778" width="7.453125" style="2" bestFit="1" customWidth="1"/>
    <col min="779" max="779" width="10.453125" style="2" bestFit="1" customWidth="1"/>
    <col min="780" max="780" width="8.90625" style="2"/>
    <col min="781" max="782" width="12.453125" style="2" bestFit="1" customWidth="1"/>
    <col min="783" max="783" width="14" style="2" bestFit="1" customWidth="1"/>
    <col min="784" max="1016" width="8.90625" style="2"/>
    <col min="1017" max="1017" width="3.90625" style="2" customWidth="1"/>
    <col min="1018" max="1018" width="8.90625" style="2"/>
    <col min="1019" max="1019" width="14.453125" style="2" customWidth="1"/>
    <col min="1020" max="1020" width="38.6328125" style="2" customWidth="1"/>
    <col min="1021" max="1025" width="14" style="2" bestFit="1" customWidth="1"/>
    <col min="1026" max="1026" width="10.453125" style="2" bestFit="1" customWidth="1"/>
    <col min="1027" max="1027" width="8.90625" style="2"/>
    <col min="1028" max="1028" width="11.36328125" style="2" bestFit="1" customWidth="1"/>
    <col min="1029" max="1029" width="5.453125" style="2" bestFit="1" customWidth="1"/>
    <col min="1030" max="1033" width="5" style="2" bestFit="1" customWidth="1"/>
    <col min="1034" max="1034" width="7.453125" style="2" bestFit="1" customWidth="1"/>
    <col min="1035" max="1035" width="10.453125" style="2" bestFit="1" customWidth="1"/>
    <col min="1036" max="1036" width="8.90625" style="2"/>
    <col min="1037" max="1038" width="12.453125" style="2" bestFit="1" customWidth="1"/>
    <col min="1039" max="1039" width="14" style="2" bestFit="1" customWidth="1"/>
    <col min="1040" max="1272" width="8.90625" style="2"/>
    <col min="1273" max="1273" width="3.90625" style="2" customWidth="1"/>
    <col min="1274" max="1274" width="8.90625" style="2"/>
    <col min="1275" max="1275" width="14.453125" style="2" customWidth="1"/>
    <col min="1276" max="1276" width="38.6328125" style="2" customWidth="1"/>
    <col min="1277" max="1281" width="14" style="2" bestFit="1" customWidth="1"/>
    <col min="1282" max="1282" width="10.453125" style="2" bestFit="1" customWidth="1"/>
    <col min="1283" max="1283" width="8.90625" style="2"/>
    <col min="1284" max="1284" width="11.36328125" style="2" bestFit="1" customWidth="1"/>
    <col min="1285" max="1285" width="5.453125" style="2" bestFit="1" customWidth="1"/>
    <col min="1286" max="1289" width="5" style="2" bestFit="1" customWidth="1"/>
    <col min="1290" max="1290" width="7.453125" style="2" bestFit="1" customWidth="1"/>
    <col min="1291" max="1291" width="10.453125" style="2" bestFit="1" customWidth="1"/>
    <col min="1292" max="1292" width="8.90625" style="2"/>
    <col min="1293" max="1294" width="12.453125" style="2" bestFit="1" customWidth="1"/>
    <col min="1295" max="1295" width="14" style="2" bestFit="1" customWidth="1"/>
    <col min="1296" max="1528" width="8.90625" style="2"/>
    <col min="1529" max="1529" width="3.90625" style="2" customWidth="1"/>
    <col min="1530" max="1530" width="8.90625" style="2"/>
    <col min="1531" max="1531" width="14.453125" style="2" customWidth="1"/>
    <col min="1532" max="1532" width="38.6328125" style="2" customWidth="1"/>
    <col min="1533" max="1537" width="14" style="2" bestFit="1" customWidth="1"/>
    <col min="1538" max="1538" width="10.453125" style="2" bestFit="1" customWidth="1"/>
    <col min="1539" max="1539" width="8.90625" style="2"/>
    <col min="1540" max="1540" width="11.36328125" style="2" bestFit="1" customWidth="1"/>
    <col min="1541" max="1541" width="5.453125" style="2" bestFit="1" customWidth="1"/>
    <col min="1542" max="1545" width="5" style="2" bestFit="1" customWidth="1"/>
    <col min="1546" max="1546" width="7.453125" style="2" bestFit="1" customWidth="1"/>
    <col min="1547" max="1547" width="10.453125" style="2" bestFit="1" customWidth="1"/>
    <col min="1548" max="1548" width="8.90625" style="2"/>
    <col min="1549" max="1550" width="12.453125" style="2" bestFit="1" customWidth="1"/>
    <col min="1551" max="1551" width="14" style="2" bestFit="1" customWidth="1"/>
    <col min="1552" max="1784" width="8.90625" style="2"/>
    <col min="1785" max="1785" width="3.90625" style="2" customWidth="1"/>
    <col min="1786" max="1786" width="8.90625" style="2"/>
    <col min="1787" max="1787" width="14.453125" style="2" customWidth="1"/>
    <col min="1788" max="1788" width="38.6328125" style="2" customWidth="1"/>
    <col min="1789" max="1793" width="14" style="2" bestFit="1" customWidth="1"/>
    <col min="1794" max="1794" width="10.453125" style="2" bestFit="1" customWidth="1"/>
    <col min="1795" max="1795" width="8.90625" style="2"/>
    <col min="1796" max="1796" width="11.36328125" style="2" bestFit="1" customWidth="1"/>
    <col min="1797" max="1797" width="5.453125" style="2" bestFit="1" customWidth="1"/>
    <col min="1798" max="1801" width="5" style="2" bestFit="1" customWidth="1"/>
    <col min="1802" max="1802" width="7.453125" style="2" bestFit="1" customWidth="1"/>
    <col min="1803" max="1803" width="10.453125" style="2" bestFit="1" customWidth="1"/>
    <col min="1804" max="1804" width="8.90625" style="2"/>
    <col min="1805" max="1806" width="12.453125" style="2" bestFit="1" customWidth="1"/>
    <col min="1807" max="1807" width="14" style="2" bestFit="1" customWidth="1"/>
    <col min="1808" max="2040" width="8.90625" style="2"/>
    <col min="2041" max="2041" width="3.90625" style="2" customWidth="1"/>
    <col min="2042" max="2042" width="8.90625" style="2"/>
    <col min="2043" max="2043" width="14.453125" style="2" customWidth="1"/>
    <col min="2044" max="2044" width="38.6328125" style="2" customWidth="1"/>
    <col min="2045" max="2049" width="14" style="2" bestFit="1" customWidth="1"/>
    <col min="2050" max="2050" width="10.453125" style="2" bestFit="1" customWidth="1"/>
    <col min="2051" max="2051" width="8.90625" style="2"/>
    <col min="2052" max="2052" width="11.36328125" style="2" bestFit="1" customWidth="1"/>
    <col min="2053" max="2053" width="5.453125" style="2" bestFit="1" customWidth="1"/>
    <col min="2054" max="2057" width="5" style="2" bestFit="1" customWidth="1"/>
    <col min="2058" max="2058" width="7.453125" style="2" bestFit="1" customWidth="1"/>
    <col min="2059" max="2059" width="10.453125" style="2" bestFit="1" customWidth="1"/>
    <col min="2060" max="2060" width="8.90625" style="2"/>
    <col min="2061" max="2062" width="12.453125" style="2" bestFit="1" customWidth="1"/>
    <col min="2063" max="2063" width="14" style="2" bestFit="1" customWidth="1"/>
    <col min="2064" max="2296" width="8.90625" style="2"/>
    <col min="2297" max="2297" width="3.90625" style="2" customWidth="1"/>
    <col min="2298" max="2298" width="8.90625" style="2"/>
    <col min="2299" max="2299" width="14.453125" style="2" customWidth="1"/>
    <col min="2300" max="2300" width="38.6328125" style="2" customWidth="1"/>
    <col min="2301" max="2305" width="14" style="2" bestFit="1" customWidth="1"/>
    <col min="2306" max="2306" width="10.453125" style="2" bestFit="1" customWidth="1"/>
    <col min="2307" max="2307" width="8.90625" style="2"/>
    <col min="2308" max="2308" width="11.36328125" style="2" bestFit="1" customWidth="1"/>
    <col min="2309" max="2309" width="5.453125" style="2" bestFit="1" customWidth="1"/>
    <col min="2310" max="2313" width="5" style="2" bestFit="1" customWidth="1"/>
    <col min="2314" max="2314" width="7.453125" style="2" bestFit="1" customWidth="1"/>
    <col min="2315" max="2315" width="10.453125" style="2" bestFit="1" customWidth="1"/>
    <col min="2316" max="2316" width="8.90625" style="2"/>
    <col min="2317" max="2318" width="12.453125" style="2" bestFit="1" customWidth="1"/>
    <col min="2319" max="2319" width="14" style="2" bestFit="1" customWidth="1"/>
    <col min="2320" max="2552" width="8.90625" style="2"/>
    <col min="2553" max="2553" width="3.90625" style="2" customWidth="1"/>
    <col min="2554" max="2554" width="8.90625" style="2"/>
    <col min="2555" max="2555" width="14.453125" style="2" customWidth="1"/>
    <col min="2556" max="2556" width="38.6328125" style="2" customWidth="1"/>
    <col min="2557" max="2561" width="14" style="2" bestFit="1" customWidth="1"/>
    <col min="2562" max="2562" width="10.453125" style="2" bestFit="1" customWidth="1"/>
    <col min="2563" max="2563" width="8.90625" style="2"/>
    <col min="2564" max="2564" width="11.36328125" style="2" bestFit="1" customWidth="1"/>
    <col min="2565" max="2565" width="5.453125" style="2" bestFit="1" customWidth="1"/>
    <col min="2566" max="2569" width="5" style="2" bestFit="1" customWidth="1"/>
    <col min="2570" max="2570" width="7.453125" style="2" bestFit="1" customWidth="1"/>
    <col min="2571" max="2571" width="10.453125" style="2" bestFit="1" customWidth="1"/>
    <col min="2572" max="2572" width="8.90625" style="2"/>
    <col min="2573" max="2574" width="12.453125" style="2" bestFit="1" customWidth="1"/>
    <col min="2575" max="2575" width="14" style="2" bestFit="1" customWidth="1"/>
    <col min="2576" max="2808" width="8.90625" style="2"/>
    <col min="2809" max="2809" width="3.90625" style="2" customWidth="1"/>
    <col min="2810" max="2810" width="8.90625" style="2"/>
    <col min="2811" max="2811" width="14.453125" style="2" customWidth="1"/>
    <col min="2812" max="2812" width="38.6328125" style="2" customWidth="1"/>
    <col min="2813" max="2817" width="14" style="2" bestFit="1" customWidth="1"/>
    <col min="2818" max="2818" width="10.453125" style="2" bestFit="1" customWidth="1"/>
    <col min="2819" max="2819" width="8.90625" style="2"/>
    <col min="2820" max="2820" width="11.36328125" style="2" bestFit="1" customWidth="1"/>
    <col min="2821" max="2821" width="5.453125" style="2" bestFit="1" customWidth="1"/>
    <col min="2822" max="2825" width="5" style="2" bestFit="1" customWidth="1"/>
    <col min="2826" max="2826" width="7.453125" style="2" bestFit="1" customWidth="1"/>
    <col min="2827" max="2827" width="10.453125" style="2" bestFit="1" customWidth="1"/>
    <col min="2828" max="2828" width="8.90625" style="2"/>
    <col min="2829" max="2830" width="12.453125" style="2" bestFit="1" customWidth="1"/>
    <col min="2831" max="2831" width="14" style="2" bestFit="1" customWidth="1"/>
    <col min="2832" max="3064" width="8.90625" style="2"/>
    <col min="3065" max="3065" width="3.90625" style="2" customWidth="1"/>
    <col min="3066" max="3066" width="8.90625" style="2"/>
    <col min="3067" max="3067" width="14.453125" style="2" customWidth="1"/>
    <col min="3068" max="3068" width="38.6328125" style="2" customWidth="1"/>
    <col min="3069" max="3073" width="14" style="2" bestFit="1" customWidth="1"/>
    <col min="3074" max="3074" width="10.453125" style="2" bestFit="1" customWidth="1"/>
    <col min="3075" max="3075" width="8.90625" style="2"/>
    <col min="3076" max="3076" width="11.36328125" style="2" bestFit="1" customWidth="1"/>
    <col min="3077" max="3077" width="5.453125" style="2" bestFit="1" customWidth="1"/>
    <col min="3078" max="3081" width="5" style="2" bestFit="1" customWidth="1"/>
    <col min="3082" max="3082" width="7.453125" style="2" bestFit="1" customWidth="1"/>
    <col min="3083" max="3083" width="10.453125" style="2" bestFit="1" customWidth="1"/>
    <col min="3084" max="3084" width="8.90625" style="2"/>
    <col min="3085" max="3086" width="12.453125" style="2" bestFit="1" customWidth="1"/>
    <col min="3087" max="3087" width="14" style="2" bestFit="1" customWidth="1"/>
    <col min="3088" max="3320" width="8.90625" style="2"/>
    <col min="3321" max="3321" width="3.90625" style="2" customWidth="1"/>
    <col min="3322" max="3322" width="8.90625" style="2"/>
    <col min="3323" max="3323" width="14.453125" style="2" customWidth="1"/>
    <col min="3324" max="3324" width="38.6328125" style="2" customWidth="1"/>
    <col min="3325" max="3329" width="14" style="2" bestFit="1" customWidth="1"/>
    <col min="3330" max="3330" width="10.453125" style="2" bestFit="1" customWidth="1"/>
    <col min="3331" max="3331" width="8.90625" style="2"/>
    <col min="3332" max="3332" width="11.36328125" style="2" bestFit="1" customWidth="1"/>
    <col min="3333" max="3333" width="5.453125" style="2" bestFit="1" customWidth="1"/>
    <col min="3334" max="3337" width="5" style="2" bestFit="1" customWidth="1"/>
    <col min="3338" max="3338" width="7.453125" style="2" bestFit="1" customWidth="1"/>
    <col min="3339" max="3339" width="10.453125" style="2" bestFit="1" customWidth="1"/>
    <col min="3340" max="3340" width="8.90625" style="2"/>
    <col min="3341" max="3342" width="12.453125" style="2" bestFit="1" customWidth="1"/>
    <col min="3343" max="3343" width="14" style="2" bestFit="1" customWidth="1"/>
    <col min="3344" max="3576" width="8.90625" style="2"/>
    <col min="3577" max="3577" width="3.90625" style="2" customWidth="1"/>
    <col min="3578" max="3578" width="8.90625" style="2"/>
    <col min="3579" max="3579" width="14.453125" style="2" customWidth="1"/>
    <col min="3580" max="3580" width="38.6328125" style="2" customWidth="1"/>
    <col min="3581" max="3585" width="14" style="2" bestFit="1" customWidth="1"/>
    <col min="3586" max="3586" width="10.453125" style="2" bestFit="1" customWidth="1"/>
    <col min="3587" max="3587" width="8.90625" style="2"/>
    <col min="3588" max="3588" width="11.36328125" style="2" bestFit="1" customWidth="1"/>
    <col min="3589" max="3589" width="5.453125" style="2" bestFit="1" customWidth="1"/>
    <col min="3590" max="3593" width="5" style="2" bestFit="1" customWidth="1"/>
    <col min="3594" max="3594" width="7.453125" style="2" bestFit="1" customWidth="1"/>
    <col min="3595" max="3595" width="10.453125" style="2" bestFit="1" customWidth="1"/>
    <col min="3596" max="3596" width="8.90625" style="2"/>
    <col min="3597" max="3598" width="12.453125" style="2" bestFit="1" customWidth="1"/>
    <col min="3599" max="3599" width="14" style="2" bestFit="1" customWidth="1"/>
    <col min="3600" max="3832" width="8.90625" style="2"/>
    <col min="3833" max="3833" width="3.90625" style="2" customWidth="1"/>
    <col min="3834" max="3834" width="8.90625" style="2"/>
    <col min="3835" max="3835" width="14.453125" style="2" customWidth="1"/>
    <col min="3836" max="3836" width="38.6328125" style="2" customWidth="1"/>
    <col min="3837" max="3841" width="14" style="2" bestFit="1" customWidth="1"/>
    <col min="3842" max="3842" width="10.453125" style="2" bestFit="1" customWidth="1"/>
    <col min="3843" max="3843" width="8.90625" style="2"/>
    <col min="3844" max="3844" width="11.36328125" style="2" bestFit="1" customWidth="1"/>
    <col min="3845" max="3845" width="5.453125" style="2" bestFit="1" customWidth="1"/>
    <col min="3846" max="3849" width="5" style="2" bestFit="1" customWidth="1"/>
    <col min="3850" max="3850" width="7.453125" style="2" bestFit="1" customWidth="1"/>
    <col min="3851" max="3851" width="10.453125" style="2" bestFit="1" customWidth="1"/>
    <col min="3852" max="3852" width="8.90625" style="2"/>
    <col min="3853" max="3854" width="12.453125" style="2" bestFit="1" customWidth="1"/>
    <col min="3855" max="3855" width="14" style="2" bestFit="1" customWidth="1"/>
    <col min="3856" max="4088" width="8.90625" style="2"/>
    <col min="4089" max="4089" width="3.90625" style="2" customWidth="1"/>
    <col min="4090" max="4090" width="8.90625" style="2"/>
    <col min="4091" max="4091" width="14.453125" style="2" customWidth="1"/>
    <col min="4092" max="4092" width="38.6328125" style="2" customWidth="1"/>
    <col min="4093" max="4097" width="14" style="2" bestFit="1" customWidth="1"/>
    <col min="4098" max="4098" width="10.453125" style="2" bestFit="1" customWidth="1"/>
    <col min="4099" max="4099" width="8.90625" style="2"/>
    <col min="4100" max="4100" width="11.36328125" style="2" bestFit="1" customWidth="1"/>
    <col min="4101" max="4101" width="5.453125" style="2" bestFit="1" customWidth="1"/>
    <col min="4102" max="4105" width="5" style="2" bestFit="1" customWidth="1"/>
    <col min="4106" max="4106" width="7.453125" style="2" bestFit="1" customWidth="1"/>
    <col min="4107" max="4107" width="10.453125" style="2" bestFit="1" customWidth="1"/>
    <col min="4108" max="4108" width="8.90625" style="2"/>
    <col min="4109" max="4110" width="12.453125" style="2" bestFit="1" customWidth="1"/>
    <col min="4111" max="4111" width="14" style="2" bestFit="1" customWidth="1"/>
    <col min="4112" max="4344" width="8.90625" style="2"/>
    <col min="4345" max="4345" width="3.90625" style="2" customWidth="1"/>
    <col min="4346" max="4346" width="8.90625" style="2"/>
    <col min="4347" max="4347" width="14.453125" style="2" customWidth="1"/>
    <col min="4348" max="4348" width="38.6328125" style="2" customWidth="1"/>
    <col min="4349" max="4353" width="14" style="2" bestFit="1" customWidth="1"/>
    <col min="4354" max="4354" width="10.453125" style="2" bestFit="1" customWidth="1"/>
    <col min="4355" max="4355" width="8.90625" style="2"/>
    <col min="4356" max="4356" width="11.36328125" style="2" bestFit="1" customWidth="1"/>
    <col min="4357" max="4357" width="5.453125" style="2" bestFit="1" customWidth="1"/>
    <col min="4358" max="4361" width="5" style="2" bestFit="1" customWidth="1"/>
    <col min="4362" max="4362" width="7.453125" style="2" bestFit="1" customWidth="1"/>
    <col min="4363" max="4363" width="10.453125" style="2" bestFit="1" customWidth="1"/>
    <col min="4364" max="4364" width="8.90625" style="2"/>
    <col min="4365" max="4366" width="12.453125" style="2" bestFit="1" customWidth="1"/>
    <col min="4367" max="4367" width="14" style="2" bestFit="1" customWidth="1"/>
    <col min="4368" max="4600" width="8.90625" style="2"/>
    <col min="4601" max="4601" width="3.90625" style="2" customWidth="1"/>
    <col min="4602" max="4602" width="8.90625" style="2"/>
    <col min="4603" max="4603" width="14.453125" style="2" customWidth="1"/>
    <col min="4604" max="4604" width="38.6328125" style="2" customWidth="1"/>
    <col min="4605" max="4609" width="14" style="2" bestFit="1" customWidth="1"/>
    <col min="4610" max="4610" width="10.453125" style="2" bestFit="1" customWidth="1"/>
    <col min="4611" max="4611" width="8.90625" style="2"/>
    <col min="4612" max="4612" width="11.36328125" style="2" bestFit="1" customWidth="1"/>
    <col min="4613" max="4613" width="5.453125" style="2" bestFit="1" customWidth="1"/>
    <col min="4614" max="4617" width="5" style="2" bestFit="1" customWidth="1"/>
    <col min="4618" max="4618" width="7.453125" style="2" bestFit="1" customWidth="1"/>
    <col min="4619" max="4619" width="10.453125" style="2" bestFit="1" customWidth="1"/>
    <col min="4620" max="4620" width="8.90625" style="2"/>
    <col min="4621" max="4622" width="12.453125" style="2" bestFit="1" customWidth="1"/>
    <col min="4623" max="4623" width="14" style="2" bestFit="1" customWidth="1"/>
    <col min="4624" max="4856" width="8.90625" style="2"/>
    <col min="4857" max="4857" width="3.90625" style="2" customWidth="1"/>
    <col min="4858" max="4858" width="8.90625" style="2"/>
    <col min="4859" max="4859" width="14.453125" style="2" customWidth="1"/>
    <col min="4860" max="4860" width="38.6328125" style="2" customWidth="1"/>
    <col min="4861" max="4865" width="14" style="2" bestFit="1" customWidth="1"/>
    <col min="4866" max="4866" width="10.453125" style="2" bestFit="1" customWidth="1"/>
    <col min="4867" max="4867" width="8.90625" style="2"/>
    <col min="4868" max="4868" width="11.36328125" style="2" bestFit="1" customWidth="1"/>
    <col min="4869" max="4869" width="5.453125" style="2" bestFit="1" customWidth="1"/>
    <col min="4870" max="4873" width="5" style="2" bestFit="1" customWidth="1"/>
    <col min="4874" max="4874" width="7.453125" style="2" bestFit="1" customWidth="1"/>
    <col min="4875" max="4875" width="10.453125" style="2" bestFit="1" customWidth="1"/>
    <col min="4876" max="4876" width="8.90625" style="2"/>
    <col min="4877" max="4878" width="12.453125" style="2" bestFit="1" customWidth="1"/>
    <col min="4879" max="4879" width="14" style="2" bestFit="1" customWidth="1"/>
    <col min="4880" max="5112" width="8.90625" style="2"/>
    <col min="5113" max="5113" width="3.90625" style="2" customWidth="1"/>
    <col min="5114" max="5114" width="8.90625" style="2"/>
    <col min="5115" max="5115" width="14.453125" style="2" customWidth="1"/>
    <col min="5116" max="5116" width="38.6328125" style="2" customWidth="1"/>
    <col min="5117" max="5121" width="14" style="2" bestFit="1" customWidth="1"/>
    <col min="5122" max="5122" width="10.453125" style="2" bestFit="1" customWidth="1"/>
    <col min="5123" max="5123" width="8.90625" style="2"/>
    <col min="5124" max="5124" width="11.36328125" style="2" bestFit="1" customWidth="1"/>
    <col min="5125" max="5125" width="5.453125" style="2" bestFit="1" customWidth="1"/>
    <col min="5126" max="5129" width="5" style="2" bestFit="1" customWidth="1"/>
    <col min="5130" max="5130" width="7.453125" style="2" bestFit="1" customWidth="1"/>
    <col min="5131" max="5131" width="10.453125" style="2" bestFit="1" customWidth="1"/>
    <col min="5132" max="5132" width="8.90625" style="2"/>
    <col min="5133" max="5134" width="12.453125" style="2" bestFit="1" customWidth="1"/>
    <col min="5135" max="5135" width="14" style="2" bestFit="1" customWidth="1"/>
    <col min="5136" max="5368" width="8.90625" style="2"/>
    <col min="5369" max="5369" width="3.90625" style="2" customWidth="1"/>
    <col min="5370" max="5370" width="8.90625" style="2"/>
    <col min="5371" max="5371" width="14.453125" style="2" customWidth="1"/>
    <col min="5372" max="5372" width="38.6328125" style="2" customWidth="1"/>
    <col min="5373" max="5377" width="14" style="2" bestFit="1" customWidth="1"/>
    <col min="5378" max="5378" width="10.453125" style="2" bestFit="1" customWidth="1"/>
    <col min="5379" max="5379" width="8.90625" style="2"/>
    <col min="5380" max="5380" width="11.36328125" style="2" bestFit="1" customWidth="1"/>
    <col min="5381" max="5381" width="5.453125" style="2" bestFit="1" customWidth="1"/>
    <col min="5382" max="5385" width="5" style="2" bestFit="1" customWidth="1"/>
    <col min="5386" max="5386" width="7.453125" style="2" bestFit="1" customWidth="1"/>
    <col min="5387" max="5387" width="10.453125" style="2" bestFit="1" customWidth="1"/>
    <col min="5388" max="5388" width="8.90625" style="2"/>
    <col min="5389" max="5390" width="12.453125" style="2" bestFit="1" customWidth="1"/>
    <col min="5391" max="5391" width="14" style="2" bestFit="1" customWidth="1"/>
    <col min="5392" max="5624" width="8.90625" style="2"/>
    <col min="5625" max="5625" width="3.90625" style="2" customWidth="1"/>
    <col min="5626" max="5626" width="8.90625" style="2"/>
    <col min="5627" max="5627" width="14.453125" style="2" customWidth="1"/>
    <col min="5628" max="5628" width="38.6328125" style="2" customWidth="1"/>
    <col min="5629" max="5633" width="14" style="2" bestFit="1" customWidth="1"/>
    <col min="5634" max="5634" width="10.453125" style="2" bestFit="1" customWidth="1"/>
    <col min="5635" max="5635" width="8.90625" style="2"/>
    <col min="5636" max="5636" width="11.36328125" style="2" bestFit="1" customWidth="1"/>
    <col min="5637" max="5637" width="5.453125" style="2" bestFit="1" customWidth="1"/>
    <col min="5638" max="5641" width="5" style="2" bestFit="1" customWidth="1"/>
    <col min="5642" max="5642" width="7.453125" style="2" bestFit="1" customWidth="1"/>
    <col min="5643" max="5643" width="10.453125" style="2" bestFit="1" customWidth="1"/>
    <col min="5644" max="5644" width="8.90625" style="2"/>
    <col min="5645" max="5646" width="12.453125" style="2" bestFit="1" customWidth="1"/>
    <col min="5647" max="5647" width="14" style="2" bestFit="1" customWidth="1"/>
    <col min="5648" max="5880" width="8.90625" style="2"/>
    <col min="5881" max="5881" width="3.90625" style="2" customWidth="1"/>
    <col min="5882" max="5882" width="8.90625" style="2"/>
    <col min="5883" max="5883" width="14.453125" style="2" customWidth="1"/>
    <col min="5884" max="5884" width="38.6328125" style="2" customWidth="1"/>
    <col min="5885" max="5889" width="14" style="2" bestFit="1" customWidth="1"/>
    <col min="5890" max="5890" width="10.453125" style="2" bestFit="1" customWidth="1"/>
    <col min="5891" max="5891" width="8.90625" style="2"/>
    <col min="5892" max="5892" width="11.36328125" style="2" bestFit="1" customWidth="1"/>
    <col min="5893" max="5893" width="5.453125" style="2" bestFit="1" customWidth="1"/>
    <col min="5894" max="5897" width="5" style="2" bestFit="1" customWidth="1"/>
    <col min="5898" max="5898" width="7.453125" style="2" bestFit="1" customWidth="1"/>
    <col min="5899" max="5899" width="10.453125" style="2" bestFit="1" customWidth="1"/>
    <col min="5900" max="5900" width="8.90625" style="2"/>
    <col min="5901" max="5902" width="12.453125" style="2" bestFit="1" customWidth="1"/>
    <col min="5903" max="5903" width="14" style="2" bestFit="1" customWidth="1"/>
    <col min="5904" max="6136" width="8.90625" style="2"/>
    <col min="6137" max="6137" width="3.90625" style="2" customWidth="1"/>
    <col min="6138" max="6138" width="8.90625" style="2"/>
    <col min="6139" max="6139" width="14.453125" style="2" customWidth="1"/>
    <col min="6140" max="6140" width="38.6328125" style="2" customWidth="1"/>
    <col min="6141" max="6145" width="14" style="2" bestFit="1" customWidth="1"/>
    <col min="6146" max="6146" width="10.453125" style="2" bestFit="1" customWidth="1"/>
    <col min="6147" max="6147" width="8.90625" style="2"/>
    <col min="6148" max="6148" width="11.36328125" style="2" bestFit="1" customWidth="1"/>
    <col min="6149" max="6149" width="5.453125" style="2" bestFit="1" customWidth="1"/>
    <col min="6150" max="6153" width="5" style="2" bestFit="1" customWidth="1"/>
    <col min="6154" max="6154" width="7.453125" style="2" bestFit="1" customWidth="1"/>
    <col min="6155" max="6155" width="10.453125" style="2" bestFit="1" customWidth="1"/>
    <col min="6156" max="6156" width="8.90625" style="2"/>
    <col min="6157" max="6158" width="12.453125" style="2" bestFit="1" customWidth="1"/>
    <col min="6159" max="6159" width="14" style="2" bestFit="1" customWidth="1"/>
    <col min="6160" max="6392" width="8.90625" style="2"/>
    <col min="6393" max="6393" width="3.90625" style="2" customWidth="1"/>
    <col min="6394" max="6394" width="8.90625" style="2"/>
    <col min="6395" max="6395" width="14.453125" style="2" customWidth="1"/>
    <col min="6396" max="6396" width="38.6328125" style="2" customWidth="1"/>
    <col min="6397" max="6401" width="14" style="2" bestFit="1" customWidth="1"/>
    <col min="6402" max="6402" width="10.453125" style="2" bestFit="1" customWidth="1"/>
    <col min="6403" max="6403" width="8.90625" style="2"/>
    <col min="6404" max="6404" width="11.36328125" style="2" bestFit="1" customWidth="1"/>
    <col min="6405" max="6405" width="5.453125" style="2" bestFit="1" customWidth="1"/>
    <col min="6406" max="6409" width="5" style="2" bestFit="1" customWidth="1"/>
    <col min="6410" max="6410" width="7.453125" style="2" bestFit="1" customWidth="1"/>
    <col min="6411" max="6411" width="10.453125" style="2" bestFit="1" customWidth="1"/>
    <col min="6412" max="6412" width="8.90625" style="2"/>
    <col min="6413" max="6414" width="12.453125" style="2" bestFit="1" customWidth="1"/>
    <col min="6415" max="6415" width="14" style="2" bestFit="1" customWidth="1"/>
    <col min="6416" max="6648" width="8.90625" style="2"/>
    <col min="6649" max="6649" width="3.90625" style="2" customWidth="1"/>
    <col min="6650" max="6650" width="8.90625" style="2"/>
    <col min="6651" max="6651" width="14.453125" style="2" customWidth="1"/>
    <col min="6652" max="6652" width="38.6328125" style="2" customWidth="1"/>
    <col min="6653" max="6657" width="14" style="2" bestFit="1" customWidth="1"/>
    <col min="6658" max="6658" width="10.453125" style="2" bestFit="1" customWidth="1"/>
    <col min="6659" max="6659" width="8.90625" style="2"/>
    <col min="6660" max="6660" width="11.36328125" style="2" bestFit="1" customWidth="1"/>
    <col min="6661" max="6661" width="5.453125" style="2" bestFit="1" customWidth="1"/>
    <col min="6662" max="6665" width="5" style="2" bestFit="1" customWidth="1"/>
    <col min="6666" max="6666" width="7.453125" style="2" bestFit="1" customWidth="1"/>
    <col min="6667" max="6667" width="10.453125" style="2" bestFit="1" customWidth="1"/>
    <col min="6668" max="6668" width="8.90625" style="2"/>
    <col min="6669" max="6670" width="12.453125" style="2" bestFit="1" customWidth="1"/>
    <col min="6671" max="6671" width="14" style="2" bestFit="1" customWidth="1"/>
    <col min="6672" max="6904" width="8.90625" style="2"/>
    <col min="6905" max="6905" width="3.90625" style="2" customWidth="1"/>
    <col min="6906" max="6906" width="8.90625" style="2"/>
    <col min="6907" max="6907" width="14.453125" style="2" customWidth="1"/>
    <col min="6908" max="6908" width="38.6328125" style="2" customWidth="1"/>
    <col min="6909" max="6913" width="14" style="2" bestFit="1" customWidth="1"/>
    <col min="6914" max="6914" width="10.453125" style="2" bestFit="1" customWidth="1"/>
    <col min="6915" max="6915" width="8.90625" style="2"/>
    <col min="6916" max="6916" width="11.36328125" style="2" bestFit="1" customWidth="1"/>
    <col min="6917" max="6917" width="5.453125" style="2" bestFit="1" customWidth="1"/>
    <col min="6918" max="6921" width="5" style="2" bestFit="1" customWidth="1"/>
    <col min="6922" max="6922" width="7.453125" style="2" bestFit="1" customWidth="1"/>
    <col min="6923" max="6923" width="10.453125" style="2" bestFit="1" customWidth="1"/>
    <col min="6924" max="6924" width="8.90625" style="2"/>
    <col min="6925" max="6926" width="12.453125" style="2" bestFit="1" customWidth="1"/>
    <col min="6927" max="6927" width="14" style="2" bestFit="1" customWidth="1"/>
    <col min="6928" max="7160" width="8.90625" style="2"/>
    <col min="7161" max="7161" width="3.90625" style="2" customWidth="1"/>
    <col min="7162" max="7162" width="8.90625" style="2"/>
    <col min="7163" max="7163" width="14.453125" style="2" customWidth="1"/>
    <col min="7164" max="7164" width="38.6328125" style="2" customWidth="1"/>
    <col min="7165" max="7169" width="14" style="2" bestFit="1" customWidth="1"/>
    <col min="7170" max="7170" width="10.453125" style="2" bestFit="1" customWidth="1"/>
    <col min="7171" max="7171" width="8.90625" style="2"/>
    <col min="7172" max="7172" width="11.36328125" style="2" bestFit="1" customWidth="1"/>
    <col min="7173" max="7173" width="5.453125" style="2" bestFit="1" customWidth="1"/>
    <col min="7174" max="7177" width="5" style="2" bestFit="1" customWidth="1"/>
    <col min="7178" max="7178" width="7.453125" style="2" bestFit="1" customWidth="1"/>
    <col min="7179" max="7179" width="10.453125" style="2" bestFit="1" customWidth="1"/>
    <col min="7180" max="7180" width="8.90625" style="2"/>
    <col min="7181" max="7182" width="12.453125" style="2" bestFit="1" customWidth="1"/>
    <col min="7183" max="7183" width="14" style="2" bestFit="1" customWidth="1"/>
    <col min="7184" max="7416" width="8.90625" style="2"/>
    <col min="7417" max="7417" width="3.90625" style="2" customWidth="1"/>
    <col min="7418" max="7418" width="8.90625" style="2"/>
    <col min="7419" max="7419" width="14.453125" style="2" customWidth="1"/>
    <col min="7420" max="7420" width="38.6328125" style="2" customWidth="1"/>
    <col min="7421" max="7425" width="14" style="2" bestFit="1" customWidth="1"/>
    <col min="7426" max="7426" width="10.453125" style="2" bestFit="1" customWidth="1"/>
    <col min="7427" max="7427" width="8.90625" style="2"/>
    <col min="7428" max="7428" width="11.36328125" style="2" bestFit="1" customWidth="1"/>
    <col min="7429" max="7429" width="5.453125" style="2" bestFit="1" customWidth="1"/>
    <col min="7430" max="7433" width="5" style="2" bestFit="1" customWidth="1"/>
    <col min="7434" max="7434" width="7.453125" style="2" bestFit="1" customWidth="1"/>
    <col min="7435" max="7435" width="10.453125" style="2" bestFit="1" customWidth="1"/>
    <col min="7436" max="7436" width="8.90625" style="2"/>
    <col min="7437" max="7438" width="12.453125" style="2" bestFit="1" customWidth="1"/>
    <col min="7439" max="7439" width="14" style="2" bestFit="1" customWidth="1"/>
    <col min="7440" max="7672" width="8.90625" style="2"/>
    <col min="7673" max="7673" width="3.90625" style="2" customWidth="1"/>
    <col min="7674" max="7674" width="8.90625" style="2"/>
    <col min="7675" max="7675" width="14.453125" style="2" customWidth="1"/>
    <col min="7676" max="7676" width="38.6328125" style="2" customWidth="1"/>
    <col min="7677" max="7681" width="14" style="2" bestFit="1" customWidth="1"/>
    <col min="7682" max="7682" width="10.453125" style="2" bestFit="1" customWidth="1"/>
    <col min="7683" max="7683" width="8.90625" style="2"/>
    <col min="7684" max="7684" width="11.36328125" style="2" bestFit="1" customWidth="1"/>
    <col min="7685" max="7685" width="5.453125" style="2" bestFit="1" customWidth="1"/>
    <col min="7686" max="7689" width="5" style="2" bestFit="1" customWidth="1"/>
    <col min="7690" max="7690" width="7.453125" style="2" bestFit="1" customWidth="1"/>
    <col min="7691" max="7691" width="10.453125" style="2" bestFit="1" customWidth="1"/>
    <col min="7692" max="7692" width="8.90625" style="2"/>
    <col min="7693" max="7694" width="12.453125" style="2" bestFit="1" customWidth="1"/>
    <col min="7695" max="7695" width="14" style="2" bestFit="1" customWidth="1"/>
    <col min="7696" max="7928" width="8.90625" style="2"/>
    <col min="7929" max="7929" width="3.90625" style="2" customWidth="1"/>
    <col min="7930" max="7930" width="8.90625" style="2"/>
    <col min="7931" max="7931" width="14.453125" style="2" customWidth="1"/>
    <col min="7932" max="7932" width="38.6328125" style="2" customWidth="1"/>
    <col min="7933" max="7937" width="14" style="2" bestFit="1" customWidth="1"/>
    <col min="7938" max="7938" width="10.453125" style="2" bestFit="1" customWidth="1"/>
    <col min="7939" max="7939" width="8.90625" style="2"/>
    <col min="7940" max="7940" width="11.36328125" style="2" bestFit="1" customWidth="1"/>
    <col min="7941" max="7941" width="5.453125" style="2" bestFit="1" customWidth="1"/>
    <col min="7942" max="7945" width="5" style="2" bestFit="1" customWidth="1"/>
    <col min="7946" max="7946" width="7.453125" style="2" bestFit="1" customWidth="1"/>
    <col min="7947" max="7947" width="10.453125" style="2" bestFit="1" customWidth="1"/>
    <col min="7948" max="7948" width="8.90625" style="2"/>
    <col min="7949" max="7950" width="12.453125" style="2" bestFit="1" customWidth="1"/>
    <col min="7951" max="7951" width="14" style="2" bestFit="1" customWidth="1"/>
    <col min="7952" max="8184" width="8.90625" style="2"/>
    <col min="8185" max="8185" width="3.90625" style="2" customWidth="1"/>
    <col min="8186" max="8186" width="8.90625" style="2"/>
    <col min="8187" max="8187" width="14.453125" style="2" customWidth="1"/>
    <col min="8188" max="8188" width="38.6328125" style="2" customWidth="1"/>
    <col min="8189" max="8193" width="14" style="2" bestFit="1" customWidth="1"/>
    <col min="8194" max="8194" width="10.453125" style="2" bestFit="1" customWidth="1"/>
    <col min="8195" max="8195" width="8.90625" style="2"/>
    <col min="8196" max="8196" width="11.36328125" style="2" bestFit="1" customWidth="1"/>
    <col min="8197" max="8197" width="5.453125" style="2" bestFit="1" customWidth="1"/>
    <col min="8198" max="8201" width="5" style="2" bestFit="1" customWidth="1"/>
    <col min="8202" max="8202" width="7.453125" style="2" bestFit="1" customWidth="1"/>
    <col min="8203" max="8203" width="10.453125" style="2" bestFit="1" customWidth="1"/>
    <col min="8204" max="8204" width="8.90625" style="2"/>
    <col min="8205" max="8206" width="12.453125" style="2" bestFit="1" customWidth="1"/>
    <col min="8207" max="8207" width="14" style="2" bestFit="1" customWidth="1"/>
    <col min="8208" max="8440" width="8.90625" style="2"/>
    <col min="8441" max="8441" width="3.90625" style="2" customWidth="1"/>
    <col min="8442" max="8442" width="8.90625" style="2"/>
    <col min="8443" max="8443" width="14.453125" style="2" customWidth="1"/>
    <col min="8444" max="8444" width="38.6328125" style="2" customWidth="1"/>
    <col min="8445" max="8449" width="14" style="2" bestFit="1" customWidth="1"/>
    <col min="8450" max="8450" width="10.453125" style="2" bestFit="1" customWidth="1"/>
    <col min="8451" max="8451" width="8.90625" style="2"/>
    <col min="8452" max="8452" width="11.36328125" style="2" bestFit="1" customWidth="1"/>
    <col min="8453" max="8453" width="5.453125" style="2" bestFit="1" customWidth="1"/>
    <col min="8454" max="8457" width="5" style="2" bestFit="1" customWidth="1"/>
    <col min="8458" max="8458" width="7.453125" style="2" bestFit="1" customWidth="1"/>
    <col min="8459" max="8459" width="10.453125" style="2" bestFit="1" customWidth="1"/>
    <col min="8460" max="8460" width="8.90625" style="2"/>
    <col min="8461" max="8462" width="12.453125" style="2" bestFit="1" customWidth="1"/>
    <col min="8463" max="8463" width="14" style="2" bestFit="1" customWidth="1"/>
    <col min="8464" max="8696" width="8.90625" style="2"/>
    <col min="8697" max="8697" width="3.90625" style="2" customWidth="1"/>
    <col min="8698" max="8698" width="8.90625" style="2"/>
    <col min="8699" max="8699" width="14.453125" style="2" customWidth="1"/>
    <col min="8700" max="8700" width="38.6328125" style="2" customWidth="1"/>
    <col min="8701" max="8705" width="14" style="2" bestFit="1" customWidth="1"/>
    <col min="8706" max="8706" width="10.453125" style="2" bestFit="1" customWidth="1"/>
    <col min="8707" max="8707" width="8.90625" style="2"/>
    <col min="8708" max="8708" width="11.36328125" style="2" bestFit="1" customWidth="1"/>
    <col min="8709" max="8709" width="5.453125" style="2" bestFit="1" customWidth="1"/>
    <col min="8710" max="8713" width="5" style="2" bestFit="1" customWidth="1"/>
    <col min="8714" max="8714" width="7.453125" style="2" bestFit="1" customWidth="1"/>
    <col min="8715" max="8715" width="10.453125" style="2" bestFit="1" customWidth="1"/>
    <col min="8716" max="8716" width="8.90625" style="2"/>
    <col min="8717" max="8718" width="12.453125" style="2" bestFit="1" customWidth="1"/>
    <col min="8719" max="8719" width="14" style="2" bestFit="1" customWidth="1"/>
    <col min="8720" max="8952" width="8.90625" style="2"/>
    <col min="8953" max="8953" width="3.90625" style="2" customWidth="1"/>
    <col min="8954" max="8954" width="8.90625" style="2"/>
    <col min="8955" max="8955" width="14.453125" style="2" customWidth="1"/>
    <col min="8956" max="8956" width="38.6328125" style="2" customWidth="1"/>
    <col min="8957" max="8961" width="14" style="2" bestFit="1" customWidth="1"/>
    <col min="8962" max="8962" width="10.453125" style="2" bestFit="1" customWidth="1"/>
    <col min="8963" max="8963" width="8.90625" style="2"/>
    <col min="8964" max="8964" width="11.36328125" style="2" bestFit="1" customWidth="1"/>
    <col min="8965" max="8965" width="5.453125" style="2" bestFit="1" customWidth="1"/>
    <col min="8966" max="8969" width="5" style="2" bestFit="1" customWidth="1"/>
    <col min="8970" max="8970" width="7.453125" style="2" bestFit="1" customWidth="1"/>
    <col min="8971" max="8971" width="10.453125" style="2" bestFit="1" customWidth="1"/>
    <col min="8972" max="8972" width="8.90625" style="2"/>
    <col min="8973" max="8974" width="12.453125" style="2" bestFit="1" customWidth="1"/>
    <col min="8975" max="8975" width="14" style="2" bestFit="1" customWidth="1"/>
    <col min="8976" max="9208" width="8.90625" style="2"/>
    <col min="9209" max="9209" width="3.90625" style="2" customWidth="1"/>
    <col min="9210" max="9210" width="8.90625" style="2"/>
    <col min="9211" max="9211" width="14.453125" style="2" customWidth="1"/>
    <col min="9212" max="9212" width="38.6328125" style="2" customWidth="1"/>
    <col min="9213" max="9217" width="14" style="2" bestFit="1" customWidth="1"/>
    <col min="9218" max="9218" width="10.453125" style="2" bestFit="1" customWidth="1"/>
    <col min="9219" max="9219" width="8.90625" style="2"/>
    <col min="9220" max="9220" width="11.36328125" style="2" bestFit="1" customWidth="1"/>
    <col min="9221" max="9221" width="5.453125" style="2" bestFit="1" customWidth="1"/>
    <col min="9222" max="9225" width="5" style="2" bestFit="1" customWidth="1"/>
    <col min="9226" max="9226" width="7.453125" style="2" bestFit="1" customWidth="1"/>
    <col min="9227" max="9227" width="10.453125" style="2" bestFit="1" customWidth="1"/>
    <col min="9228" max="9228" width="8.90625" style="2"/>
    <col min="9229" max="9230" width="12.453125" style="2" bestFit="1" customWidth="1"/>
    <col min="9231" max="9231" width="14" style="2" bestFit="1" customWidth="1"/>
    <col min="9232" max="9464" width="8.90625" style="2"/>
    <col min="9465" max="9465" width="3.90625" style="2" customWidth="1"/>
    <col min="9466" max="9466" width="8.90625" style="2"/>
    <col min="9467" max="9467" width="14.453125" style="2" customWidth="1"/>
    <col min="9468" max="9468" width="38.6328125" style="2" customWidth="1"/>
    <col min="9469" max="9473" width="14" style="2" bestFit="1" customWidth="1"/>
    <col min="9474" max="9474" width="10.453125" style="2" bestFit="1" customWidth="1"/>
    <col min="9475" max="9475" width="8.90625" style="2"/>
    <col min="9476" max="9476" width="11.36328125" style="2" bestFit="1" customWidth="1"/>
    <col min="9477" max="9477" width="5.453125" style="2" bestFit="1" customWidth="1"/>
    <col min="9478" max="9481" width="5" style="2" bestFit="1" customWidth="1"/>
    <col min="9482" max="9482" width="7.453125" style="2" bestFit="1" customWidth="1"/>
    <col min="9483" max="9483" width="10.453125" style="2" bestFit="1" customWidth="1"/>
    <col min="9484" max="9484" width="8.90625" style="2"/>
    <col min="9485" max="9486" width="12.453125" style="2" bestFit="1" customWidth="1"/>
    <col min="9487" max="9487" width="14" style="2" bestFit="1" customWidth="1"/>
    <col min="9488" max="9720" width="8.90625" style="2"/>
    <col min="9721" max="9721" width="3.90625" style="2" customWidth="1"/>
    <col min="9722" max="9722" width="8.90625" style="2"/>
    <col min="9723" max="9723" width="14.453125" style="2" customWidth="1"/>
    <col min="9724" max="9724" width="38.6328125" style="2" customWidth="1"/>
    <col min="9725" max="9729" width="14" style="2" bestFit="1" customWidth="1"/>
    <col min="9730" max="9730" width="10.453125" style="2" bestFit="1" customWidth="1"/>
    <col min="9731" max="9731" width="8.90625" style="2"/>
    <col min="9732" max="9732" width="11.36328125" style="2" bestFit="1" customWidth="1"/>
    <col min="9733" max="9733" width="5.453125" style="2" bestFit="1" customWidth="1"/>
    <col min="9734" max="9737" width="5" style="2" bestFit="1" customWidth="1"/>
    <col min="9738" max="9738" width="7.453125" style="2" bestFit="1" customWidth="1"/>
    <col min="9739" max="9739" width="10.453125" style="2" bestFit="1" customWidth="1"/>
    <col min="9740" max="9740" width="8.90625" style="2"/>
    <col min="9741" max="9742" width="12.453125" style="2" bestFit="1" customWidth="1"/>
    <col min="9743" max="9743" width="14" style="2" bestFit="1" customWidth="1"/>
    <col min="9744" max="9976" width="8.90625" style="2"/>
    <col min="9977" max="9977" width="3.90625" style="2" customWidth="1"/>
    <col min="9978" max="9978" width="8.90625" style="2"/>
    <col min="9979" max="9979" width="14.453125" style="2" customWidth="1"/>
    <col min="9980" max="9980" width="38.6328125" style="2" customWidth="1"/>
    <col min="9981" max="9985" width="14" style="2" bestFit="1" customWidth="1"/>
    <col min="9986" max="9986" width="10.453125" style="2" bestFit="1" customWidth="1"/>
    <col min="9987" max="9987" width="8.90625" style="2"/>
    <col min="9988" max="9988" width="11.36328125" style="2" bestFit="1" customWidth="1"/>
    <col min="9989" max="9989" width="5.453125" style="2" bestFit="1" customWidth="1"/>
    <col min="9990" max="9993" width="5" style="2" bestFit="1" customWidth="1"/>
    <col min="9994" max="9994" width="7.453125" style="2" bestFit="1" customWidth="1"/>
    <col min="9995" max="9995" width="10.453125" style="2" bestFit="1" customWidth="1"/>
    <col min="9996" max="9996" width="8.90625" style="2"/>
    <col min="9997" max="9998" width="12.453125" style="2" bestFit="1" customWidth="1"/>
    <col min="9999" max="9999" width="14" style="2" bestFit="1" customWidth="1"/>
    <col min="10000" max="10232" width="8.90625" style="2"/>
    <col min="10233" max="10233" width="3.90625" style="2" customWidth="1"/>
    <col min="10234" max="10234" width="8.90625" style="2"/>
    <col min="10235" max="10235" width="14.453125" style="2" customWidth="1"/>
    <col min="10236" max="10236" width="38.6328125" style="2" customWidth="1"/>
    <col min="10237" max="10241" width="14" style="2" bestFit="1" customWidth="1"/>
    <col min="10242" max="10242" width="10.453125" style="2" bestFit="1" customWidth="1"/>
    <col min="10243" max="10243" width="8.90625" style="2"/>
    <col min="10244" max="10244" width="11.36328125" style="2" bestFit="1" customWidth="1"/>
    <col min="10245" max="10245" width="5.453125" style="2" bestFit="1" customWidth="1"/>
    <col min="10246" max="10249" width="5" style="2" bestFit="1" customWidth="1"/>
    <col min="10250" max="10250" width="7.453125" style="2" bestFit="1" customWidth="1"/>
    <col min="10251" max="10251" width="10.453125" style="2" bestFit="1" customWidth="1"/>
    <col min="10252" max="10252" width="8.90625" style="2"/>
    <col min="10253" max="10254" width="12.453125" style="2" bestFit="1" customWidth="1"/>
    <col min="10255" max="10255" width="14" style="2" bestFit="1" customWidth="1"/>
    <col min="10256" max="10488" width="8.90625" style="2"/>
    <col min="10489" max="10489" width="3.90625" style="2" customWidth="1"/>
    <col min="10490" max="10490" width="8.90625" style="2"/>
    <col min="10491" max="10491" width="14.453125" style="2" customWidth="1"/>
    <col min="10492" max="10492" width="38.6328125" style="2" customWidth="1"/>
    <col min="10493" max="10497" width="14" style="2" bestFit="1" customWidth="1"/>
    <col min="10498" max="10498" width="10.453125" style="2" bestFit="1" customWidth="1"/>
    <col min="10499" max="10499" width="8.90625" style="2"/>
    <col min="10500" max="10500" width="11.36328125" style="2" bestFit="1" customWidth="1"/>
    <col min="10501" max="10501" width="5.453125" style="2" bestFit="1" customWidth="1"/>
    <col min="10502" max="10505" width="5" style="2" bestFit="1" customWidth="1"/>
    <col min="10506" max="10506" width="7.453125" style="2" bestFit="1" customWidth="1"/>
    <col min="10507" max="10507" width="10.453125" style="2" bestFit="1" customWidth="1"/>
    <col min="10508" max="10508" width="8.90625" style="2"/>
    <col min="10509" max="10510" width="12.453125" style="2" bestFit="1" customWidth="1"/>
    <col min="10511" max="10511" width="14" style="2" bestFit="1" customWidth="1"/>
    <col min="10512" max="10744" width="8.90625" style="2"/>
    <col min="10745" max="10745" width="3.90625" style="2" customWidth="1"/>
    <col min="10746" max="10746" width="8.90625" style="2"/>
    <col min="10747" max="10747" width="14.453125" style="2" customWidth="1"/>
    <col min="10748" max="10748" width="38.6328125" style="2" customWidth="1"/>
    <col min="10749" max="10753" width="14" style="2" bestFit="1" customWidth="1"/>
    <col min="10754" max="10754" width="10.453125" style="2" bestFit="1" customWidth="1"/>
    <col min="10755" max="10755" width="8.90625" style="2"/>
    <col min="10756" max="10756" width="11.36328125" style="2" bestFit="1" customWidth="1"/>
    <col min="10757" max="10757" width="5.453125" style="2" bestFit="1" customWidth="1"/>
    <col min="10758" max="10761" width="5" style="2" bestFit="1" customWidth="1"/>
    <col min="10762" max="10762" width="7.453125" style="2" bestFit="1" customWidth="1"/>
    <col min="10763" max="10763" width="10.453125" style="2" bestFit="1" customWidth="1"/>
    <col min="10764" max="10764" width="8.90625" style="2"/>
    <col min="10765" max="10766" width="12.453125" style="2" bestFit="1" customWidth="1"/>
    <col min="10767" max="10767" width="14" style="2" bestFit="1" customWidth="1"/>
    <col min="10768" max="11000" width="8.90625" style="2"/>
    <col min="11001" max="11001" width="3.90625" style="2" customWidth="1"/>
    <col min="11002" max="11002" width="8.90625" style="2"/>
    <col min="11003" max="11003" width="14.453125" style="2" customWidth="1"/>
    <col min="11004" max="11004" width="38.6328125" style="2" customWidth="1"/>
    <col min="11005" max="11009" width="14" style="2" bestFit="1" customWidth="1"/>
    <col min="11010" max="11010" width="10.453125" style="2" bestFit="1" customWidth="1"/>
    <col min="11011" max="11011" width="8.90625" style="2"/>
    <col min="11012" max="11012" width="11.36328125" style="2" bestFit="1" customWidth="1"/>
    <col min="11013" max="11013" width="5.453125" style="2" bestFit="1" customWidth="1"/>
    <col min="11014" max="11017" width="5" style="2" bestFit="1" customWidth="1"/>
    <col min="11018" max="11018" width="7.453125" style="2" bestFit="1" customWidth="1"/>
    <col min="11019" max="11019" width="10.453125" style="2" bestFit="1" customWidth="1"/>
    <col min="11020" max="11020" width="8.90625" style="2"/>
    <col min="11021" max="11022" width="12.453125" style="2" bestFit="1" customWidth="1"/>
    <col min="11023" max="11023" width="14" style="2" bestFit="1" customWidth="1"/>
    <col min="11024" max="11256" width="8.90625" style="2"/>
    <col min="11257" max="11257" width="3.90625" style="2" customWidth="1"/>
    <col min="11258" max="11258" width="8.90625" style="2"/>
    <col min="11259" max="11259" width="14.453125" style="2" customWidth="1"/>
    <col min="11260" max="11260" width="38.6328125" style="2" customWidth="1"/>
    <col min="11261" max="11265" width="14" style="2" bestFit="1" customWidth="1"/>
    <col min="11266" max="11266" width="10.453125" style="2" bestFit="1" customWidth="1"/>
    <col min="11267" max="11267" width="8.90625" style="2"/>
    <col min="11268" max="11268" width="11.36328125" style="2" bestFit="1" customWidth="1"/>
    <col min="11269" max="11269" width="5.453125" style="2" bestFit="1" customWidth="1"/>
    <col min="11270" max="11273" width="5" style="2" bestFit="1" customWidth="1"/>
    <col min="11274" max="11274" width="7.453125" style="2" bestFit="1" customWidth="1"/>
    <col min="11275" max="11275" width="10.453125" style="2" bestFit="1" customWidth="1"/>
    <col min="11276" max="11276" width="8.90625" style="2"/>
    <col min="11277" max="11278" width="12.453125" style="2" bestFit="1" customWidth="1"/>
    <col min="11279" max="11279" width="14" style="2" bestFit="1" customWidth="1"/>
    <col min="11280" max="11512" width="8.90625" style="2"/>
    <col min="11513" max="11513" width="3.90625" style="2" customWidth="1"/>
    <col min="11514" max="11514" width="8.90625" style="2"/>
    <col min="11515" max="11515" width="14.453125" style="2" customWidth="1"/>
    <col min="11516" max="11516" width="38.6328125" style="2" customWidth="1"/>
    <col min="11517" max="11521" width="14" style="2" bestFit="1" customWidth="1"/>
    <col min="11522" max="11522" width="10.453125" style="2" bestFit="1" customWidth="1"/>
    <col min="11523" max="11523" width="8.90625" style="2"/>
    <col min="11524" max="11524" width="11.36328125" style="2" bestFit="1" customWidth="1"/>
    <col min="11525" max="11525" width="5.453125" style="2" bestFit="1" customWidth="1"/>
    <col min="11526" max="11529" width="5" style="2" bestFit="1" customWidth="1"/>
    <col min="11530" max="11530" width="7.453125" style="2" bestFit="1" customWidth="1"/>
    <col min="11531" max="11531" width="10.453125" style="2" bestFit="1" customWidth="1"/>
    <col min="11532" max="11532" width="8.90625" style="2"/>
    <col min="11533" max="11534" width="12.453125" style="2" bestFit="1" customWidth="1"/>
    <col min="11535" max="11535" width="14" style="2" bestFit="1" customWidth="1"/>
    <col min="11536" max="11768" width="8.90625" style="2"/>
    <col min="11769" max="11769" width="3.90625" style="2" customWidth="1"/>
    <col min="11770" max="11770" width="8.90625" style="2"/>
    <col min="11771" max="11771" width="14.453125" style="2" customWidth="1"/>
    <col min="11772" max="11772" width="38.6328125" style="2" customWidth="1"/>
    <col min="11773" max="11777" width="14" style="2" bestFit="1" customWidth="1"/>
    <col min="11778" max="11778" width="10.453125" style="2" bestFit="1" customWidth="1"/>
    <col min="11779" max="11779" width="8.90625" style="2"/>
    <col min="11780" max="11780" width="11.36328125" style="2" bestFit="1" customWidth="1"/>
    <col min="11781" max="11781" width="5.453125" style="2" bestFit="1" customWidth="1"/>
    <col min="11782" max="11785" width="5" style="2" bestFit="1" customWidth="1"/>
    <col min="11786" max="11786" width="7.453125" style="2" bestFit="1" customWidth="1"/>
    <col min="11787" max="11787" width="10.453125" style="2" bestFit="1" customWidth="1"/>
    <col min="11788" max="11788" width="8.90625" style="2"/>
    <col min="11789" max="11790" width="12.453125" style="2" bestFit="1" customWidth="1"/>
    <col min="11791" max="11791" width="14" style="2" bestFit="1" customWidth="1"/>
    <col min="11792" max="12024" width="8.90625" style="2"/>
    <col min="12025" max="12025" width="3.90625" style="2" customWidth="1"/>
    <col min="12026" max="12026" width="8.90625" style="2"/>
    <col min="12027" max="12027" width="14.453125" style="2" customWidth="1"/>
    <col min="12028" max="12028" width="38.6328125" style="2" customWidth="1"/>
    <col min="12029" max="12033" width="14" style="2" bestFit="1" customWidth="1"/>
    <col min="12034" max="12034" width="10.453125" style="2" bestFit="1" customWidth="1"/>
    <col min="12035" max="12035" width="8.90625" style="2"/>
    <col min="12036" max="12036" width="11.36328125" style="2" bestFit="1" customWidth="1"/>
    <col min="12037" max="12037" width="5.453125" style="2" bestFit="1" customWidth="1"/>
    <col min="12038" max="12041" width="5" style="2" bestFit="1" customWidth="1"/>
    <col min="12042" max="12042" width="7.453125" style="2" bestFit="1" customWidth="1"/>
    <col min="12043" max="12043" width="10.453125" style="2" bestFit="1" customWidth="1"/>
    <col min="12044" max="12044" width="8.90625" style="2"/>
    <col min="12045" max="12046" width="12.453125" style="2" bestFit="1" customWidth="1"/>
    <col min="12047" max="12047" width="14" style="2" bestFit="1" customWidth="1"/>
    <col min="12048" max="12280" width="8.90625" style="2"/>
    <col min="12281" max="12281" width="3.90625" style="2" customWidth="1"/>
    <col min="12282" max="12282" width="8.90625" style="2"/>
    <col min="12283" max="12283" width="14.453125" style="2" customWidth="1"/>
    <col min="12284" max="12284" width="38.6328125" style="2" customWidth="1"/>
    <col min="12285" max="12289" width="14" style="2" bestFit="1" customWidth="1"/>
    <col min="12290" max="12290" width="10.453125" style="2" bestFit="1" customWidth="1"/>
    <col min="12291" max="12291" width="8.90625" style="2"/>
    <col min="12292" max="12292" width="11.36328125" style="2" bestFit="1" customWidth="1"/>
    <col min="12293" max="12293" width="5.453125" style="2" bestFit="1" customWidth="1"/>
    <col min="12294" max="12297" width="5" style="2" bestFit="1" customWidth="1"/>
    <col min="12298" max="12298" width="7.453125" style="2" bestFit="1" customWidth="1"/>
    <col min="12299" max="12299" width="10.453125" style="2" bestFit="1" customWidth="1"/>
    <col min="12300" max="12300" width="8.90625" style="2"/>
    <col min="12301" max="12302" width="12.453125" style="2" bestFit="1" customWidth="1"/>
    <col min="12303" max="12303" width="14" style="2" bestFit="1" customWidth="1"/>
    <col min="12304" max="12536" width="8.90625" style="2"/>
    <col min="12537" max="12537" width="3.90625" style="2" customWidth="1"/>
    <col min="12538" max="12538" width="8.90625" style="2"/>
    <col min="12539" max="12539" width="14.453125" style="2" customWidth="1"/>
    <col min="12540" max="12540" width="38.6328125" style="2" customWidth="1"/>
    <col min="12541" max="12545" width="14" style="2" bestFit="1" customWidth="1"/>
    <col min="12546" max="12546" width="10.453125" style="2" bestFit="1" customWidth="1"/>
    <col min="12547" max="12547" width="8.90625" style="2"/>
    <col min="12548" max="12548" width="11.36328125" style="2" bestFit="1" customWidth="1"/>
    <col min="12549" max="12549" width="5.453125" style="2" bestFit="1" customWidth="1"/>
    <col min="12550" max="12553" width="5" style="2" bestFit="1" customWidth="1"/>
    <col min="12554" max="12554" width="7.453125" style="2" bestFit="1" customWidth="1"/>
    <col min="12555" max="12555" width="10.453125" style="2" bestFit="1" customWidth="1"/>
    <col min="12556" max="12556" width="8.90625" style="2"/>
    <col min="12557" max="12558" width="12.453125" style="2" bestFit="1" customWidth="1"/>
    <col min="12559" max="12559" width="14" style="2" bestFit="1" customWidth="1"/>
    <col min="12560" max="12792" width="8.90625" style="2"/>
    <col min="12793" max="12793" width="3.90625" style="2" customWidth="1"/>
    <col min="12794" max="12794" width="8.90625" style="2"/>
    <col min="12795" max="12795" width="14.453125" style="2" customWidth="1"/>
    <col min="12796" max="12796" width="38.6328125" style="2" customWidth="1"/>
    <col min="12797" max="12801" width="14" style="2" bestFit="1" customWidth="1"/>
    <col min="12802" max="12802" width="10.453125" style="2" bestFit="1" customWidth="1"/>
    <col min="12803" max="12803" width="8.90625" style="2"/>
    <col min="12804" max="12804" width="11.36328125" style="2" bestFit="1" customWidth="1"/>
    <col min="12805" max="12805" width="5.453125" style="2" bestFit="1" customWidth="1"/>
    <col min="12806" max="12809" width="5" style="2" bestFit="1" customWidth="1"/>
    <col min="12810" max="12810" width="7.453125" style="2" bestFit="1" customWidth="1"/>
    <col min="12811" max="12811" width="10.453125" style="2" bestFit="1" customWidth="1"/>
    <col min="12812" max="12812" width="8.90625" style="2"/>
    <col min="12813" max="12814" width="12.453125" style="2" bestFit="1" customWidth="1"/>
    <col min="12815" max="12815" width="14" style="2" bestFit="1" customWidth="1"/>
    <col min="12816" max="13048" width="8.90625" style="2"/>
    <col min="13049" max="13049" width="3.90625" style="2" customWidth="1"/>
    <col min="13050" max="13050" width="8.90625" style="2"/>
    <col min="13051" max="13051" width="14.453125" style="2" customWidth="1"/>
    <col min="13052" max="13052" width="38.6328125" style="2" customWidth="1"/>
    <col min="13053" max="13057" width="14" style="2" bestFit="1" customWidth="1"/>
    <col min="13058" max="13058" width="10.453125" style="2" bestFit="1" customWidth="1"/>
    <col min="13059" max="13059" width="8.90625" style="2"/>
    <col min="13060" max="13060" width="11.36328125" style="2" bestFit="1" customWidth="1"/>
    <col min="13061" max="13061" width="5.453125" style="2" bestFit="1" customWidth="1"/>
    <col min="13062" max="13065" width="5" style="2" bestFit="1" customWidth="1"/>
    <col min="13066" max="13066" width="7.453125" style="2" bestFit="1" customWidth="1"/>
    <col min="13067" max="13067" width="10.453125" style="2" bestFit="1" customWidth="1"/>
    <col min="13068" max="13068" width="8.90625" style="2"/>
    <col min="13069" max="13070" width="12.453125" style="2" bestFit="1" customWidth="1"/>
    <col min="13071" max="13071" width="14" style="2" bestFit="1" customWidth="1"/>
    <col min="13072" max="13304" width="8.90625" style="2"/>
    <col min="13305" max="13305" width="3.90625" style="2" customWidth="1"/>
    <col min="13306" max="13306" width="8.90625" style="2"/>
    <col min="13307" max="13307" width="14.453125" style="2" customWidth="1"/>
    <col min="13308" max="13308" width="38.6328125" style="2" customWidth="1"/>
    <col min="13309" max="13313" width="14" style="2" bestFit="1" customWidth="1"/>
    <col min="13314" max="13314" width="10.453125" style="2" bestFit="1" customWidth="1"/>
    <col min="13315" max="13315" width="8.90625" style="2"/>
    <col min="13316" max="13316" width="11.36328125" style="2" bestFit="1" customWidth="1"/>
    <col min="13317" max="13317" width="5.453125" style="2" bestFit="1" customWidth="1"/>
    <col min="13318" max="13321" width="5" style="2" bestFit="1" customWidth="1"/>
    <col min="13322" max="13322" width="7.453125" style="2" bestFit="1" customWidth="1"/>
    <col min="13323" max="13323" width="10.453125" style="2" bestFit="1" customWidth="1"/>
    <col min="13324" max="13324" width="8.90625" style="2"/>
    <col min="13325" max="13326" width="12.453125" style="2" bestFit="1" customWidth="1"/>
    <col min="13327" max="13327" width="14" style="2" bestFit="1" customWidth="1"/>
    <col min="13328" max="13560" width="8.90625" style="2"/>
    <col min="13561" max="13561" width="3.90625" style="2" customWidth="1"/>
    <col min="13562" max="13562" width="8.90625" style="2"/>
    <col min="13563" max="13563" width="14.453125" style="2" customWidth="1"/>
    <col min="13564" max="13564" width="38.6328125" style="2" customWidth="1"/>
    <col min="13565" max="13569" width="14" style="2" bestFit="1" customWidth="1"/>
    <col min="13570" max="13570" width="10.453125" style="2" bestFit="1" customWidth="1"/>
    <col min="13571" max="13571" width="8.90625" style="2"/>
    <col min="13572" max="13572" width="11.36328125" style="2" bestFit="1" customWidth="1"/>
    <col min="13573" max="13573" width="5.453125" style="2" bestFit="1" customWidth="1"/>
    <col min="13574" max="13577" width="5" style="2" bestFit="1" customWidth="1"/>
    <col min="13578" max="13578" width="7.453125" style="2" bestFit="1" customWidth="1"/>
    <col min="13579" max="13579" width="10.453125" style="2" bestFit="1" customWidth="1"/>
    <col min="13580" max="13580" width="8.90625" style="2"/>
    <col min="13581" max="13582" width="12.453125" style="2" bestFit="1" customWidth="1"/>
    <col min="13583" max="13583" width="14" style="2" bestFit="1" customWidth="1"/>
    <col min="13584" max="13816" width="8.90625" style="2"/>
    <col min="13817" max="13817" width="3.90625" style="2" customWidth="1"/>
    <col min="13818" max="13818" width="8.90625" style="2"/>
    <col min="13819" max="13819" width="14.453125" style="2" customWidth="1"/>
    <col min="13820" max="13820" width="38.6328125" style="2" customWidth="1"/>
    <col min="13821" max="13825" width="14" style="2" bestFit="1" customWidth="1"/>
    <col min="13826" max="13826" width="10.453125" style="2" bestFit="1" customWidth="1"/>
    <col min="13827" max="13827" width="8.90625" style="2"/>
    <col min="13828" max="13828" width="11.36328125" style="2" bestFit="1" customWidth="1"/>
    <col min="13829" max="13829" width="5.453125" style="2" bestFit="1" customWidth="1"/>
    <col min="13830" max="13833" width="5" style="2" bestFit="1" customWidth="1"/>
    <col min="13834" max="13834" width="7.453125" style="2" bestFit="1" customWidth="1"/>
    <col min="13835" max="13835" width="10.453125" style="2" bestFit="1" customWidth="1"/>
    <col min="13836" max="13836" width="8.90625" style="2"/>
    <col min="13837" max="13838" width="12.453125" style="2" bestFit="1" customWidth="1"/>
    <col min="13839" max="13839" width="14" style="2" bestFit="1" customWidth="1"/>
    <col min="13840" max="14072" width="8.90625" style="2"/>
    <col min="14073" max="14073" width="3.90625" style="2" customWidth="1"/>
    <col min="14074" max="14074" width="8.90625" style="2"/>
    <col min="14075" max="14075" width="14.453125" style="2" customWidth="1"/>
    <col min="14076" max="14076" width="38.6328125" style="2" customWidth="1"/>
    <col min="14077" max="14081" width="14" style="2" bestFit="1" customWidth="1"/>
    <col min="14082" max="14082" width="10.453125" style="2" bestFit="1" customWidth="1"/>
    <col min="14083" max="14083" width="8.90625" style="2"/>
    <col min="14084" max="14084" width="11.36328125" style="2" bestFit="1" customWidth="1"/>
    <col min="14085" max="14085" width="5.453125" style="2" bestFit="1" customWidth="1"/>
    <col min="14086" max="14089" width="5" style="2" bestFit="1" customWidth="1"/>
    <col min="14090" max="14090" width="7.453125" style="2" bestFit="1" customWidth="1"/>
    <col min="14091" max="14091" width="10.453125" style="2" bestFit="1" customWidth="1"/>
    <col min="14092" max="14092" width="8.90625" style="2"/>
    <col min="14093" max="14094" width="12.453125" style="2" bestFit="1" customWidth="1"/>
    <col min="14095" max="14095" width="14" style="2" bestFit="1" customWidth="1"/>
    <col min="14096" max="14328" width="8.90625" style="2"/>
    <col min="14329" max="14329" width="3.90625" style="2" customWidth="1"/>
    <col min="14330" max="14330" width="8.90625" style="2"/>
    <col min="14331" max="14331" width="14.453125" style="2" customWidth="1"/>
    <col min="14332" max="14332" width="38.6328125" style="2" customWidth="1"/>
    <col min="14333" max="14337" width="14" style="2" bestFit="1" customWidth="1"/>
    <col min="14338" max="14338" width="10.453125" style="2" bestFit="1" customWidth="1"/>
    <col min="14339" max="14339" width="8.90625" style="2"/>
    <col min="14340" max="14340" width="11.36328125" style="2" bestFit="1" customWidth="1"/>
    <col min="14341" max="14341" width="5.453125" style="2" bestFit="1" customWidth="1"/>
    <col min="14342" max="14345" width="5" style="2" bestFit="1" customWidth="1"/>
    <col min="14346" max="14346" width="7.453125" style="2" bestFit="1" customWidth="1"/>
    <col min="14347" max="14347" width="10.453125" style="2" bestFit="1" customWidth="1"/>
    <col min="14348" max="14348" width="8.90625" style="2"/>
    <col min="14349" max="14350" width="12.453125" style="2" bestFit="1" customWidth="1"/>
    <col min="14351" max="14351" width="14" style="2" bestFit="1" customWidth="1"/>
    <col min="14352" max="14584" width="8.90625" style="2"/>
    <col min="14585" max="14585" width="3.90625" style="2" customWidth="1"/>
    <col min="14586" max="14586" width="8.90625" style="2"/>
    <col min="14587" max="14587" width="14.453125" style="2" customWidth="1"/>
    <col min="14588" max="14588" width="38.6328125" style="2" customWidth="1"/>
    <col min="14589" max="14593" width="14" style="2" bestFit="1" customWidth="1"/>
    <col min="14594" max="14594" width="10.453125" style="2" bestFit="1" customWidth="1"/>
    <col min="14595" max="14595" width="8.90625" style="2"/>
    <col min="14596" max="14596" width="11.36328125" style="2" bestFit="1" customWidth="1"/>
    <col min="14597" max="14597" width="5.453125" style="2" bestFit="1" customWidth="1"/>
    <col min="14598" max="14601" width="5" style="2" bestFit="1" customWidth="1"/>
    <col min="14602" max="14602" width="7.453125" style="2" bestFit="1" customWidth="1"/>
    <col min="14603" max="14603" width="10.453125" style="2" bestFit="1" customWidth="1"/>
    <col min="14604" max="14604" width="8.90625" style="2"/>
    <col min="14605" max="14606" width="12.453125" style="2" bestFit="1" customWidth="1"/>
    <col min="14607" max="14607" width="14" style="2" bestFit="1" customWidth="1"/>
    <col min="14608" max="14840" width="8.90625" style="2"/>
    <col min="14841" max="14841" width="3.90625" style="2" customWidth="1"/>
    <col min="14842" max="14842" width="8.90625" style="2"/>
    <col min="14843" max="14843" width="14.453125" style="2" customWidth="1"/>
    <col min="14844" max="14844" width="38.6328125" style="2" customWidth="1"/>
    <col min="14845" max="14849" width="14" style="2" bestFit="1" customWidth="1"/>
    <col min="14850" max="14850" width="10.453125" style="2" bestFit="1" customWidth="1"/>
    <col min="14851" max="14851" width="8.90625" style="2"/>
    <col min="14852" max="14852" width="11.36328125" style="2" bestFit="1" customWidth="1"/>
    <col min="14853" max="14853" width="5.453125" style="2" bestFit="1" customWidth="1"/>
    <col min="14854" max="14857" width="5" style="2" bestFit="1" customWidth="1"/>
    <col min="14858" max="14858" width="7.453125" style="2" bestFit="1" customWidth="1"/>
    <col min="14859" max="14859" width="10.453125" style="2" bestFit="1" customWidth="1"/>
    <col min="14860" max="14860" width="8.90625" style="2"/>
    <col min="14861" max="14862" width="12.453125" style="2" bestFit="1" customWidth="1"/>
    <col min="14863" max="14863" width="14" style="2" bestFit="1" customWidth="1"/>
    <col min="14864" max="15096" width="8.90625" style="2"/>
    <col min="15097" max="15097" width="3.90625" style="2" customWidth="1"/>
    <col min="15098" max="15098" width="8.90625" style="2"/>
    <col min="15099" max="15099" width="14.453125" style="2" customWidth="1"/>
    <col min="15100" max="15100" width="38.6328125" style="2" customWidth="1"/>
    <col min="15101" max="15105" width="14" style="2" bestFit="1" customWidth="1"/>
    <col min="15106" max="15106" width="10.453125" style="2" bestFit="1" customWidth="1"/>
    <col min="15107" max="15107" width="8.90625" style="2"/>
    <col min="15108" max="15108" width="11.36328125" style="2" bestFit="1" customWidth="1"/>
    <col min="15109" max="15109" width="5.453125" style="2" bestFit="1" customWidth="1"/>
    <col min="15110" max="15113" width="5" style="2" bestFit="1" customWidth="1"/>
    <col min="15114" max="15114" width="7.453125" style="2" bestFit="1" customWidth="1"/>
    <col min="15115" max="15115" width="10.453125" style="2" bestFit="1" customWidth="1"/>
    <col min="15116" max="15116" width="8.90625" style="2"/>
    <col min="15117" max="15118" width="12.453125" style="2" bestFit="1" customWidth="1"/>
    <col min="15119" max="15119" width="14" style="2" bestFit="1" customWidth="1"/>
    <col min="15120" max="15352" width="8.90625" style="2"/>
    <col min="15353" max="15353" width="3.90625" style="2" customWidth="1"/>
    <col min="15354" max="15354" width="8.90625" style="2"/>
    <col min="15355" max="15355" width="14.453125" style="2" customWidth="1"/>
    <col min="15356" max="15356" width="38.6328125" style="2" customWidth="1"/>
    <col min="15357" max="15361" width="14" style="2" bestFit="1" customWidth="1"/>
    <col min="15362" max="15362" width="10.453125" style="2" bestFit="1" customWidth="1"/>
    <col min="15363" max="15363" width="8.90625" style="2"/>
    <col min="15364" max="15364" width="11.36328125" style="2" bestFit="1" customWidth="1"/>
    <col min="15365" max="15365" width="5.453125" style="2" bestFit="1" customWidth="1"/>
    <col min="15366" max="15369" width="5" style="2" bestFit="1" customWidth="1"/>
    <col min="15370" max="15370" width="7.453125" style="2" bestFit="1" customWidth="1"/>
    <col min="15371" max="15371" width="10.453125" style="2" bestFit="1" customWidth="1"/>
    <col min="15372" max="15372" width="8.90625" style="2"/>
    <col min="15373" max="15374" width="12.453125" style="2" bestFit="1" customWidth="1"/>
    <col min="15375" max="15375" width="14" style="2" bestFit="1" customWidth="1"/>
    <col min="15376" max="15608" width="8.90625" style="2"/>
    <col min="15609" max="15609" width="3.90625" style="2" customWidth="1"/>
    <col min="15610" max="15610" width="8.90625" style="2"/>
    <col min="15611" max="15611" width="14.453125" style="2" customWidth="1"/>
    <col min="15612" max="15612" width="38.6328125" style="2" customWidth="1"/>
    <col min="15613" max="15617" width="14" style="2" bestFit="1" customWidth="1"/>
    <col min="15618" max="15618" width="10.453125" style="2" bestFit="1" customWidth="1"/>
    <col min="15619" max="15619" width="8.90625" style="2"/>
    <col min="15620" max="15620" width="11.36328125" style="2" bestFit="1" customWidth="1"/>
    <col min="15621" max="15621" width="5.453125" style="2" bestFit="1" customWidth="1"/>
    <col min="15622" max="15625" width="5" style="2" bestFit="1" customWidth="1"/>
    <col min="15626" max="15626" width="7.453125" style="2" bestFit="1" customWidth="1"/>
    <col min="15627" max="15627" width="10.453125" style="2" bestFit="1" customWidth="1"/>
    <col min="15628" max="15628" width="8.90625" style="2"/>
    <col min="15629" max="15630" width="12.453125" style="2" bestFit="1" customWidth="1"/>
    <col min="15631" max="15631" width="14" style="2" bestFit="1" customWidth="1"/>
    <col min="15632" max="15864" width="8.90625" style="2"/>
    <col min="15865" max="15865" width="3.90625" style="2" customWidth="1"/>
    <col min="15866" max="15866" width="8.90625" style="2"/>
    <col min="15867" max="15867" width="14.453125" style="2" customWidth="1"/>
    <col min="15868" max="15868" width="38.6328125" style="2" customWidth="1"/>
    <col min="15869" max="15873" width="14" style="2" bestFit="1" customWidth="1"/>
    <col min="15874" max="15874" width="10.453125" style="2" bestFit="1" customWidth="1"/>
    <col min="15875" max="15875" width="8.90625" style="2"/>
    <col min="15876" max="15876" width="11.36328125" style="2" bestFit="1" customWidth="1"/>
    <col min="15877" max="15877" width="5.453125" style="2" bestFit="1" customWidth="1"/>
    <col min="15878" max="15881" width="5" style="2" bestFit="1" customWidth="1"/>
    <col min="15882" max="15882" width="7.453125" style="2" bestFit="1" customWidth="1"/>
    <col min="15883" max="15883" width="10.453125" style="2" bestFit="1" customWidth="1"/>
    <col min="15884" max="15884" width="8.90625" style="2"/>
    <col min="15885" max="15886" width="12.453125" style="2" bestFit="1" customWidth="1"/>
    <col min="15887" max="15887" width="14" style="2" bestFit="1" customWidth="1"/>
    <col min="15888" max="16120" width="8.90625" style="2"/>
    <col min="16121" max="16121" width="3.90625" style="2" customWidth="1"/>
    <col min="16122" max="16122" width="8.90625" style="2"/>
    <col min="16123" max="16123" width="14.453125" style="2" customWidth="1"/>
    <col min="16124" max="16124" width="38.6328125" style="2" customWidth="1"/>
    <col min="16125" max="16129" width="14" style="2" bestFit="1" customWidth="1"/>
    <col min="16130" max="16130" width="10.453125" style="2" bestFit="1" customWidth="1"/>
    <col min="16131" max="16131" width="8.90625" style="2"/>
    <col min="16132" max="16132" width="11.36328125" style="2" bestFit="1" customWidth="1"/>
    <col min="16133" max="16133" width="5.453125" style="2" bestFit="1" customWidth="1"/>
    <col min="16134" max="16137" width="5" style="2" bestFit="1" customWidth="1"/>
    <col min="16138" max="16138" width="7.453125" style="2" bestFit="1" customWidth="1"/>
    <col min="16139" max="16139" width="10.453125" style="2" bestFit="1" customWidth="1"/>
    <col min="16140" max="16140" width="8.90625" style="2"/>
    <col min="16141" max="16142" width="12.453125" style="2" bestFit="1" customWidth="1"/>
    <col min="16143" max="16143" width="14" style="2" bestFit="1" customWidth="1"/>
    <col min="16144" max="16384" width="8.90625" style="2"/>
  </cols>
  <sheetData>
    <row r="1" spans="1:25">
      <c r="E1" s="34" t="s">
        <v>272</v>
      </c>
      <c r="F1" s="20"/>
      <c r="G1" s="20"/>
      <c r="H1" s="20"/>
      <c r="I1" s="20"/>
      <c r="J1" s="20"/>
    </row>
    <row r="2" spans="1:25">
      <c r="A2" s="1"/>
      <c r="E2" s="34" t="s">
        <v>273</v>
      </c>
      <c r="G2" s="290">
        <v>44927</v>
      </c>
      <c r="H2" s="291" t="s">
        <v>274</v>
      </c>
      <c r="I2" s="290">
        <v>46752</v>
      </c>
      <c r="J2" s="290">
        <v>46387</v>
      </c>
    </row>
    <row r="3" spans="1:25" ht="6.5" customHeight="1" thickBot="1">
      <c r="A3" s="1"/>
      <c r="G3" s="289"/>
      <c r="H3" s="81"/>
      <c r="I3" s="289"/>
    </row>
    <row r="4" spans="1:25" ht="23" customHeight="1" thickBot="1">
      <c r="E4" s="402" t="s">
        <v>258</v>
      </c>
      <c r="F4" s="403"/>
      <c r="G4" s="403"/>
      <c r="H4" s="403"/>
      <c r="I4" s="403"/>
      <c r="J4" s="404"/>
      <c r="U4" s="81"/>
      <c r="V4" s="81"/>
    </row>
    <row r="5" spans="1:25" ht="15" thickBot="1">
      <c r="E5" s="4" t="s">
        <v>41</v>
      </c>
      <c r="F5" s="5" t="s">
        <v>40</v>
      </c>
      <c r="G5" s="5" t="s">
        <v>39</v>
      </c>
      <c r="H5" s="5" t="s">
        <v>38</v>
      </c>
      <c r="I5" s="5" t="s">
        <v>37</v>
      </c>
      <c r="J5" s="6" t="s">
        <v>49</v>
      </c>
      <c r="L5" s="302" t="s">
        <v>163</v>
      </c>
      <c r="M5" s="92" t="s">
        <v>118</v>
      </c>
      <c r="N5" s="242" t="s">
        <v>36</v>
      </c>
      <c r="O5" s="242" t="s">
        <v>35</v>
      </c>
      <c r="P5" s="242" t="s">
        <v>34</v>
      </c>
      <c r="Q5" s="242" t="s">
        <v>33</v>
      </c>
      <c r="R5" s="242" t="s">
        <v>32</v>
      </c>
      <c r="S5" s="251" t="s">
        <v>31</v>
      </c>
      <c r="U5" s="81" t="s">
        <v>75</v>
      </c>
      <c r="V5" s="81"/>
    </row>
    <row r="6" spans="1:25">
      <c r="A6" s="9" t="s">
        <v>30</v>
      </c>
      <c r="B6" s="10" t="s">
        <v>42</v>
      </c>
      <c r="C6" s="10"/>
      <c r="D6" s="10"/>
      <c r="E6" s="252"/>
      <c r="F6" s="252"/>
      <c r="G6" s="12"/>
      <c r="H6" s="12"/>
      <c r="I6" s="12"/>
      <c r="J6" s="253"/>
      <c r="L6" s="87" t="s">
        <v>275</v>
      </c>
      <c r="M6" s="299" t="s">
        <v>276</v>
      </c>
      <c r="N6" s="24"/>
      <c r="O6" s="24"/>
      <c r="P6" s="24"/>
      <c r="Q6" s="24"/>
      <c r="R6" s="24"/>
      <c r="S6" s="16"/>
    </row>
    <row r="7" spans="1:25">
      <c r="A7" s="17"/>
      <c r="B7" s="298" t="s">
        <v>326</v>
      </c>
      <c r="C7" s="184" t="s">
        <v>190</v>
      </c>
      <c r="D7" s="48" t="s">
        <v>165</v>
      </c>
      <c r="E7" s="22">
        <f>$M7*N7</f>
        <v>90272.520746370006</v>
      </c>
      <c r="F7" s="22">
        <f>$M7*O7*$S$7</f>
        <v>46490.348184380557</v>
      </c>
      <c r="G7" s="22">
        <f>$M7*P7*$S$7^2</f>
        <v>47885.058629911968</v>
      </c>
      <c r="H7" s="22">
        <f>$M7*Q7*$S$7^3</f>
        <v>39457.288311047465</v>
      </c>
      <c r="I7" s="22">
        <f>$M7*R7*$S$7^4</f>
        <v>0</v>
      </c>
      <c r="J7" s="19">
        <f>SUM(E7:I7)</f>
        <v>224105.21587170998</v>
      </c>
      <c r="L7" s="90">
        <v>271088.65088999999</v>
      </c>
      <c r="M7" s="94">
        <f>+L7*0.333</f>
        <v>90272.520746370006</v>
      </c>
      <c r="N7" s="75">
        <v>1</v>
      </c>
      <c r="O7" s="75">
        <v>0.5</v>
      </c>
      <c r="P7" s="75">
        <v>0.5</v>
      </c>
      <c r="Q7" s="75">
        <v>0.4</v>
      </c>
      <c r="R7" s="75"/>
      <c r="S7" s="325">
        <v>1.03</v>
      </c>
      <c r="U7" s="153">
        <f>+E7/$L$7</f>
        <v>0.33300000000000002</v>
      </c>
      <c r="V7" s="153">
        <f t="shared" ref="V7:Y7" si="0">+F7/$L$7</f>
        <v>0.17149500000000004</v>
      </c>
      <c r="W7" s="153">
        <f t="shared" si="0"/>
        <v>0.17663985000000001</v>
      </c>
      <c r="X7" s="153">
        <f t="shared" si="0"/>
        <v>0.14555123640000003</v>
      </c>
      <c r="Y7" s="153">
        <f t="shared" si="0"/>
        <v>0</v>
      </c>
    </row>
    <row r="8" spans="1:25" hidden="1">
      <c r="A8" s="17"/>
      <c r="B8" s="297" t="s">
        <v>192</v>
      </c>
      <c r="C8" s="291" t="s">
        <v>191</v>
      </c>
      <c r="D8" s="74"/>
      <c r="E8" s="22">
        <f t="shared" ref="E8:E11" si="1">$M8*N8</f>
        <v>0</v>
      </c>
      <c r="F8" s="22">
        <f t="shared" ref="F8:F11" si="2">$M8*O8*$S$7</f>
        <v>0</v>
      </c>
      <c r="G8" s="22">
        <f t="shared" ref="G8:G11" si="3">$M8*P8*$S$7^2</f>
        <v>0</v>
      </c>
      <c r="H8" s="22">
        <f t="shared" ref="H8:H11" si="4">$M8*Q8*$S$7^3</f>
        <v>0</v>
      </c>
      <c r="I8" s="22">
        <f t="shared" ref="I8:I11" si="5">$M8*R8*$S$7^4</f>
        <v>0</v>
      </c>
      <c r="J8" s="255">
        <f>SUM(E8:I8)</f>
        <v>0</v>
      </c>
      <c r="L8" s="90"/>
      <c r="M8" s="94">
        <v>0</v>
      </c>
      <c r="N8" s="75">
        <v>0</v>
      </c>
      <c r="O8" s="75">
        <v>0</v>
      </c>
      <c r="P8" s="75">
        <v>0</v>
      </c>
      <c r="Q8" s="75"/>
      <c r="R8" s="75"/>
      <c r="S8" s="16"/>
    </row>
    <row r="9" spans="1:25" hidden="1">
      <c r="A9" s="17"/>
      <c r="B9" s="297" t="s">
        <v>192</v>
      </c>
      <c r="C9" s="291" t="s">
        <v>191</v>
      </c>
      <c r="D9" s="48"/>
      <c r="E9" s="22">
        <f t="shared" si="1"/>
        <v>0</v>
      </c>
      <c r="F9" s="22">
        <f t="shared" si="2"/>
        <v>0</v>
      </c>
      <c r="G9" s="22">
        <f t="shared" si="3"/>
        <v>0</v>
      </c>
      <c r="H9" s="22">
        <f t="shared" si="4"/>
        <v>0</v>
      </c>
      <c r="I9" s="22">
        <f t="shared" si="5"/>
        <v>0</v>
      </c>
      <c r="J9" s="19">
        <f>SUM(E9:I9)</f>
        <v>0</v>
      </c>
      <c r="L9" s="90"/>
      <c r="M9" s="94">
        <v>0</v>
      </c>
      <c r="N9" s="75">
        <v>0</v>
      </c>
      <c r="O9" s="75">
        <v>0</v>
      </c>
      <c r="P9" s="75">
        <v>0</v>
      </c>
      <c r="Q9" s="75"/>
      <c r="R9" s="75"/>
      <c r="S9" s="16"/>
    </row>
    <row r="10" spans="1:25" hidden="1">
      <c r="A10" s="17"/>
      <c r="B10" s="297" t="s">
        <v>192</v>
      </c>
      <c r="C10" s="291" t="s">
        <v>191</v>
      </c>
      <c r="D10" s="18"/>
      <c r="E10" s="22">
        <f t="shared" si="1"/>
        <v>0</v>
      </c>
      <c r="F10" s="22">
        <f t="shared" si="2"/>
        <v>0</v>
      </c>
      <c r="G10" s="22">
        <f t="shared" si="3"/>
        <v>0</v>
      </c>
      <c r="H10" s="22">
        <f t="shared" si="4"/>
        <v>0</v>
      </c>
      <c r="I10" s="22">
        <f t="shared" si="5"/>
        <v>0</v>
      </c>
      <c r="J10" s="19">
        <f>SUM(E10:I10)</f>
        <v>0</v>
      </c>
      <c r="L10" s="90"/>
      <c r="M10" s="99">
        <v>0</v>
      </c>
      <c r="N10" s="75">
        <v>0</v>
      </c>
      <c r="O10" s="75">
        <v>0</v>
      </c>
      <c r="P10" s="75">
        <v>0</v>
      </c>
      <c r="Q10" s="75"/>
      <c r="R10" s="75"/>
      <c r="S10" s="16"/>
    </row>
    <row r="11" spans="1:25">
      <c r="A11" s="17"/>
      <c r="B11" s="297" t="s">
        <v>192</v>
      </c>
      <c r="C11" s="291" t="s">
        <v>281</v>
      </c>
      <c r="D11" s="18"/>
      <c r="E11" s="22">
        <f t="shared" si="1"/>
        <v>0</v>
      </c>
      <c r="F11" s="22">
        <f t="shared" si="2"/>
        <v>0</v>
      </c>
      <c r="G11" s="22">
        <f t="shared" si="3"/>
        <v>0</v>
      </c>
      <c r="H11" s="22">
        <f t="shared" si="4"/>
        <v>0</v>
      </c>
      <c r="I11" s="22">
        <f t="shared" si="5"/>
        <v>0</v>
      </c>
      <c r="J11" s="19">
        <f t="shared" ref="J11:J57" si="6">SUM(E11:I11)</f>
        <v>0</v>
      </c>
      <c r="L11" s="90"/>
      <c r="M11" s="94"/>
      <c r="N11" s="75"/>
      <c r="O11" s="75"/>
      <c r="P11" s="75"/>
      <c r="Q11" s="75"/>
      <c r="R11" s="76"/>
      <c r="S11" s="16"/>
    </row>
    <row r="12" spans="1:25">
      <c r="A12" s="17"/>
      <c r="B12" s="21" t="s">
        <v>164</v>
      </c>
      <c r="C12" s="18"/>
      <c r="D12" s="18"/>
      <c r="E12" s="22">
        <f>SUM(E7:E11)</f>
        <v>90272.520746370006</v>
      </c>
      <c r="F12" s="22">
        <f t="shared" ref="F12:I12" si="7">SUM(F7:F11)</f>
        <v>46490.348184380557</v>
      </c>
      <c r="G12" s="22">
        <f t="shared" si="7"/>
        <v>47885.058629911968</v>
      </c>
      <c r="H12" s="22">
        <f t="shared" si="7"/>
        <v>39457.288311047465</v>
      </c>
      <c r="I12" s="22">
        <f t="shared" si="7"/>
        <v>0</v>
      </c>
      <c r="J12" s="19">
        <f t="shared" si="6"/>
        <v>224105.21587170998</v>
      </c>
      <c r="L12" s="259"/>
      <c r="M12" s="329"/>
      <c r="N12" s="76"/>
      <c r="O12" s="76"/>
      <c r="P12" s="76"/>
      <c r="Q12" s="76"/>
      <c r="R12" s="76"/>
      <c r="S12" s="16"/>
    </row>
    <row r="13" spans="1:25">
      <c r="A13" s="23" t="s">
        <v>29</v>
      </c>
      <c r="B13" s="24" t="s">
        <v>83</v>
      </c>
      <c r="C13" s="24"/>
      <c r="E13" s="25"/>
      <c r="F13" s="25"/>
      <c r="G13" s="25"/>
      <c r="H13" s="25"/>
      <c r="I13" s="25"/>
      <c r="J13" s="19"/>
      <c r="L13" s="259"/>
      <c r="M13" s="260"/>
      <c r="N13" s="76"/>
      <c r="O13" s="76"/>
      <c r="P13" s="76"/>
      <c r="Q13" s="76"/>
      <c r="R13" s="76"/>
      <c r="S13" s="16"/>
    </row>
    <row r="14" spans="1:25">
      <c r="A14" s="17"/>
      <c r="B14" s="21" t="s">
        <v>51</v>
      </c>
      <c r="C14" s="26"/>
      <c r="D14" s="26"/>
      <c r="E14" s="22">
        <f t="shared" ref="E14:E20" si="8">$M14*N14</f>
        <v>0</v>
      </c>
      <c r="F14" s="22">
        <f t="shared" ref="F14:F20" si="9">$M14*O14*$S$7</f>
        <v>0</v>
      </c>
      <c r="G14" s="22">
        <f t="shared" ref="G14:G20" si="10">$M14*P14*$S$7^2</f>
        <v>0</v>
      </c>
      <c r="H14" s="22">
        <f t="shared" ref="H14:H20" si="11">$M14*Q14*$S$7^3</f>
        <v>0</v>
      </c>
      <c r="I14" s="22">
        <f t="shared" ref="I14:I20" si="12">$M14*R14*$S$7^4</f>
        <v>0</v>
      </c>
      <c r="J14" s="19">
        <f t="shared" si="6"/>
        <v>0</v>
      </c>
      <c r="L14" s="261"/>
      <c r="M14" s="262">
        <v>5100</v>
      </c>
      <c r="N14" s="75">
        <v>0</v>
      </c>
      <c r="O14" s="75">
        <v>0</v>
      </c>
      <c r="P14" s="75">
        <v>0</v>
      </c>
      <c r="Q14" s="75"/>
      <c r="R14" s="75"/>
      <c r="S14" s="16"/>
    </row>
    <row r="15" spans="1:25" ht="15.75" customHeight="1">
      <c r="A15" s="17"/>
      <c r="B15" s="21" t="s">
        <v>50</v>
      </c>
      <c r="C15" s="18"/>
      <c r="D15" s="18"/>
      <c r="E15" s="22">
        <f t="shared" si="8"/>
        <v>0</v>
      </c>
      <c r="F15" s="22">
        <f t="shared" si="9"/>
        <v>0</v>
      </c>
      <c r="G15" s="22">
        <f t="shared" si="10"/>
        <v>0</v>
      </c>
      <c r="H15" s="22">
        <f t="shared" si="11"/>
        <v>0</v>
      </c>
      <c r="I15" s="22">
        <f t="shared" si="12"/>
        <v>0</v>
      </c>
      <c r="J15" s="19">
        <f t="shared" si="6"/>
        <v>0</v>
      </c>
      <c r="L15" s="261"/>
      <c r="M15" s="263">
        <v>5000</v>
      </c>
      <c r="N15" s="75">
        <v>0</v>
      </c>
      <c r="O15" s="75">
        <v>0</v>
      </c>
      <c r="P15" s="75">
        <v>0</v>
      </c>
      <c r="Q15" s="75"/>
      <c r="R15" s="75"/>
      <c r="S15" s="16"/>
    </row>
    <row r="16" spans="1:25">
      <c r="A16" s="17"/>
      <c r="B16" s="21" t="s">
        <v>277</v>
      </c>
      <c r="C16" s="18"/>
      <c r="D16" s="18"/>
      <c r="E16" s="22">
        <f t="shared" si="8"/>
        <v>0</v>
      </c>
      <c r="F16" s="22">
        <f t="shared" si="9"/>
        <v>21245.295000000002</v>
      </c>
      <c r="G16" s="22">
        <f t="shared" si="10"/>
        <v>21882.653849999999</v>
      </c>
      <c r="H16" s="22">
        <f t="shared" si="11"/>
        <v>22539.133465499999</v>
      </c>
      <c r="I16" s="22">
        <f t="shared" si="12"/>
        <v>0</v>
      </c>
      <c r="J16" s="19">
        <f t="shared" si="6"/>
        <v>65667.082315499996</v>
      </c>
      <c r="L16" s="261">
        <v>41253</v>
      </c>
      <c r="M16" s="263">
        <f>+L16/12</f>
        <v>3437.75</v>
      </c>
      <c r="N16" s="75"/>
      <c r="O16" s="75">
        <v>6</v>
      </c>
      <c r="P16" s="75">
        <v>6</v>
      </c>
      <c r="Q16" s="75">
        <v>6</v>
      </c>
      <c r="R16" s="75"/>
      <c r="S16" s="16"/>
      <c r="U16" s="28" t="s">
        <v>96</v>
      </c>
    </row>
    <row r="17" spans="1:21">
      <c r="A17" s="17"/>
      <c r="B17" s="21" t="s">
        <v>278</v>
      </c>
      <c r="C17" s="18"/>
      <c r="D17" s="18"/>
      <c r="E17" s="22">
        <f t="shared" si="8"/>
        <v>0</v>
      </c>
      <c r="F17" s="22">
        <f t="shared" si="9"/>
        <v>0</v>
      </c>
      <c r="G17" s="22">
        <f t="shared" si="10"/>
        <v>0</v>
      </c>
      <c r="H17" s="22">
        <f t="shared" si="11"/>
        <v>0</v>
      </c>
      <c r="I17" s="22">
        <f t="shared" si="12"/>
        <v>0</v>
      </c>
      <c r="J17" s="19">
        <f t="shared" ref="J17" si="13">SUM(E17:I17)</f>
        <v>0</v>
      </c>
      <c r="L17" s="261">
        <v>42124</v>
      </c>
      <c r="M17" s="263">
        <f>+L17/12</f>
        <v>3510.3333333333335</v>
      </c>
      <c r="N17" s="75"/>
      <c r="O17" s="75"/>
      <c r="P17" s="75"/>
      <c r="Q17" s="75"/>
      <c r="R17" s="75"/>
      <c r="S17" s="16"/>
      <c r="U17" s="28" t="s">
        <v>179</v>
      </c>
    </row>
    <row r="18" spans="1:21">
      <c r="A18" s="17"/>
      <c r="B18" s="21" t="s">
        <v>279</v>
      </c>
      <c r="C18" s="18"/>
      <c r="D18" s="18"/>
      <c r="E18" s="22">
        <f t="shared" si="8"/>
        <v>0</v>
      </c>
      <c r="F18" s="22">
        <f t="shared" si="9"/>
        <v>0</v>
      </c>
      <c r="G18" s="22">
        <f t="shared" si="10"/>
        <v>0</v>
      </c>
      <c r="H18" s="22">
        <f t="shared" si="11"/>
        <v>0</v>
      </c>
      <c r="I18" s="22">
        <f t="shared" si="12"/>
        <v>0</v>
      </c>
      <c r="J18" s="19">
        <f t="shared" si="6"/>
        <v>0</v>
      </c>
      <c r="L18" s="261"/>
      <c r="M18" s="264">
        <v>15.45</v>
      </c>
      <c r="N18" s="75"/>
      <c r="O18" s="75"/>
      <c r="P18" s="75"/>
      <c r="Q18" s="75"/>
      <c r="R18" s="75"/>
      <c r="S18" s="16"/>
    </row>
    <row r="19" spans="1:21">
      <c r="A19" s="17"/>
      <c r="B19" s="21" t="s">
        <v>28</v>
      </c>
      <c r="C19" s="18"/>
      <c r="D19" s="18"/>
      <c r="E19" s="22">
        <f t="shared" si="8"/>
        <v>0</v>
      </c>
      <c r="F19" s="22">
        <f t="shared" si="9"/>
        <v>0</v>
      </c>
      <c r="G19" s="22">
        <f t="shared" si="10"/>
        <v>0</v>
      </c>
      <c r="H19" s="22">
        <f t="shared" si="11"/>
        <v>0</v>
      </c>
      <c r="I19" s="22">
        <f t="shared" si="12"/>
        <v>0</v>
      </c>
      <c r="J19" s="19">
        <f t="shared" si="6"/>
        <v>0</v>
      </c>
      <c r="L19" s="261"/>
      <c r="M19" s="263">
        <v>3000</v>
      </c>
      <c r="N19" s="75">
        <v>0</v>
      </c>
      <c r="O19" s="75">
        <v>0</v>
      </c>
      <c r="P19" s="75">
        <v>0</v>
      </c>
      <c r="Q19" s="75"/>
      <c r="R19" s="75"/>
      <c r="S19" s="16"/>
    </row>
    <row r="20" spans="1:21">
      <c r="A20" s="17"/>
      <c r="B20" s="21" t="s">
        <v>27</v>
      </c>
      <c r="C20" s="18"/>
      <c r="D20" s="18"/>
      <c r="E20" s="22">
        <f t="shared" si="8"/>
        <v>0</v>
      </c>
      <c r="F20" s="22">
        <f t="shared" si="9"/>
        <v>0</v>
      </c>
      <c r="G20" s="22">
        <f t="shared" si="10"/>
        <v>0</v>
      </c>
      <c r="H20" s="22">
        <f t="shared" si="11"/>
        <v>0</v>
      </c>
      <c r="I20" s="22">
        <f t="shared" si="12"/>
        <v>0</v>
      </c>
      <c r="J20" s="19">
        <f t="shared" si="6"/>
        <v>0</v>
      </c>
      <c r="L20" s="265"/>
      <c r="M20" s="264">
        <v>10</v>
      </c>
      <c r="N20" s="75"/>
      <c r="O20" s="75"/>
      <c r="P20" s="75"/>
      <c r="Q20" s="75"/>
      <c r="R20" s="75"/>
      <c r="S20" s="16"/>
      <c r="U20" s="97"/>
    </row>
    <row r="21" spans="1:21" s="34" customFormat="1">
      <c r="A21" s="30"/>
      <c r="B21" s="21" t="s">
        <v>26</v>
      </c>
      <c r="C21" s="18"/>
      <c r="D21" s="31"/>
      <c r="E21" s="32">
        <f>E12+SUM(E14:E20)</f>
        <v>90272.520746370006</v>
      </c>
      <c r="F21" s="32">
        <f>F12+SUM(F14:F20)</f>
        <v>67735.643184380562</v>
      </c>
      <c r="G21" s="32">
        <f>G12+SUM(G14:G20)</f>
        <v>69767.712479911963</v>
      </c>
      <c r="H21" s="32">
        <f>H12+SUM(H14:H20)</f>
        <v>61996.42177654746</v>
      </c>
      <c r="I21" s="32">
        <f>I12+SUM(I14:I20)</f>
        <v>0</v>
      </c>
      <c r="J21" s="33">
        <f t="shared" si="6"/>
        <v>289772.29818720999</v>
      </c>
      <c r="L21" s="257"/>
      <c r="M21" s="306"/>
      <c r="N21" s="52"/>
      <c r="O21" s="52"/>
      <c r="P21" s="52"/>
      <c r="Q21" s="52"/>
      <c r="R21" s="330"/>
      <c r="S21" s="53"/>
    </row>
    <row r="22" spans="1:21">
      <c r="A22" s="17" t="s">
        <v>24</v>
      </c>
      <c r="B22" s="18" t="s">
        <v>44</v>
      </c>
      <c r="C22" s="18"/>
      <c r="D22" s="18"/>
      <c r="E22" s="29"/>
      <c r="F22" s="29"/>
      <c r="G22" s="29"/>
      <c r="H22" s="29"/>
      <c r="I22" s="29"/>
      <c r="J22" s="19"/>
      <c r="L22" s="259"/>
      <c r="M22" s="329"/>
      <c r="N22" s="15"/>
      <c r="O22" s="15"/>
      <c r="P22" s="15"/>
      <c r="Q22" s="15"/>
      <c r="R22" s="331"/>
      <c r="S22" s="16"/>
    </row>
    <row r="23" spans="1:21">
      <c r="A23" s="17"/>
      <c r="B23" s="21" t="s">
        <v>302</v>
      </c>
      <c r="C23" s="18"/>
      <c r="D23" s="18"/>
      <c r="E23" s="22">
        <f>ROUND(($S25*(E12)),0)</f>
        <v>6861</v>
      </c>
      <c r="F23" s="22">
        <f>ROUND(($S25*(F12)),0)</f>
        <v>3533</v>
      </c>
      <c r="G23" s="22">
        <f>ROUND(($S25*(G12)),0)</f>
        <v>3639</v>
      </c>
      <c r="H23" s="22">
        <f>ROUND(($S25*(H12)),0)</f>
        <v>2999</v>
      </c>
      <c r="I23" s="22">
        <f>ROUND(($S25*(I12)),0)</f>
        <v>0</v>
      </c>
      <c r="J23" s="19">
        <f t="shared" si="6"/>
        <v>17032</v>
      </c>
      <c r="L23" s="259"/>
      <c r="M23" s="329"/>
      <c r="N23" s="15"/>
      <c r="O23" s="15"/>
      <c r="P23" s="15"/>
      <c r="Q23" s="15"/>
      <c r="R23" s="331"/>
      <c r="S23" s="16"/>
    </row>
    <row r="24" spans="1:21">
      <c r="A24" s="17"/>
      <c r="B24" s="21" t="s">
        <v>166</v>
      </c>
      <c r="C24" s="18"/>
      <c r="D24" s="18"/>
      <c r="E24" s="22">
        <f>+(E14+E15)*$S$24</f>
        <v>0</v>
      </c>
      <c r="F24" s="22">
        <f>+(F14+F15)*$S$24</f>
        <v>0</v>
      </c>
      <c r="G24" s="22">
        <f>+(G14+G15)*$S$24</f>
        <v>0</v>
      </c>
      <c r="H24" s="22">
        <f>+(H14+H15)*$S$24</f>
        <v>0</v>
      </c>
      <c r="I24" s="22">
        <f>+(I14+I15)*$S$24</f>
        <v>0</v>
      </c>
      <c r="J24" s="19">
        <f t="shared" si="6"/>
        <v>0</v>
      </c>
      <c r="L24" s="259"/>
      <c r="M24" s="329"/>
      <c r="N24" s="15"/>
      <c r="O24" s="15"/>
      <c r="P24" s="15"/>
      <c r="Q24" s="15"/>
      <c r="R24" s="331"/>
      <c r="S24" s="326">
        <v>0.29899999999999999</v>
      </c>
      <c r="U24" s="2" t="s">
        <v>111</v>
      </c>
    </row>
    <row r="25" spans="1:21">
      <c r="A25" s="17"/>
      <c r="B25" s="21" t="s">
        <v>52</v>
      </c>
      <c r="C25" s="18"/>
      <c r="D25" s="18"/>
      <c r="E25" s="22">
        <f>ROUND((E16+E17)*$S26,0)</f>
        <v>0</v>
      </c>
      <c r="F25" s="22">
        <f>ROUND((F16+F17)*$S26,0)</f>
        <v>5736</v>
      </c>
      <c r="G25" s="22">
        <f>ROUND((G16+G17)*$S26,0)</f>
        <v>5908</v>
      </c>
      <c r="H25" s="22">
        <f>ROUND((H16+H17)*$S26,0)</f>
        <v>6086</v>
      </c>
      <c r="I25" s="22">
        <f>ROUND((I16+I17)*$S26,0)</f>
        <v>0</v>
      </c>
      <c r="J25" s="19">
        <f t="shared" si="6"/>
        <v>17730</v>
      </c>
      <c r="L25" s="259"/>
      <c r="M25" s="329"/>
      <c r="N25" s="15"/>
      <c r="O25" s="15"/>
      <c r="P25" s="15"/>
      <c r="Q25" s="15"/>
      <c r="R25" s="331"/>
      <c r="S25" s="326">
        <v>7.5999999999999998E-2</v>
      </c>
      <c r="U25" s="2" t="s">
        <v>80</v>
      </c>
    </row>
    <row r="26" spans="1:21">
      <c r="A26" s="17"/>
      <c r="B26" s="21" t="s">
        <v>82</v>
      </c>
      <c r="C26" s="18"/>
      <c r="D26" s="18"/>
      <c r="E26" s="22">
        <f>ROUND(E18*$S25,0)</f>
        <v>0</v>
      </c>
      <c r="F26" s="22">
        <f>ROUND(F18*$S25,0)</f>
        <v>0</v>
      </c>
      <c r="G26" s="22">
        <f>ROUND(G18*$S25,0)</f>
        <v>0</v>
      </c>
      <c r="H26" s="22">
        <f>ROUND(H18*$S25,0)</f>
        <v>0</v>
      </c>
      <c r="I26" s="22">
        <f>ROUND(I18*$S25,0)</f>
        <v>0</v>
      </c>
      <c r="J26" s="19">
        <f t="shared" si="6"/>
        <v>0</v>
      </c>
      <c r="L26" s="259"/>
      <c r="M26" s="329"/>
      <c r="N26" s="15"/>
      <c r="O26" s="15"/>
      <c r="P26" s="15"/>
      <c r="Q26" s="15"/>
      <c r="R26" s="331"/>
      <c r="S26" s="326">
        <v>0.27</v>
      </c>
      <c r="U26" s="2" t="s">
        <v>81</v>
      </c>
    </row>
    <row r="27" spans="1:21">
      <c r="A27" s="17"/>
      <c r="B27" s="21" t="s">
        <v>109</v>
      </c>
      <c r="C27" s="18"/>
      <c r="D27" s="18"/>
      <c r="E27" s="22">
        <f>+E19*$S$27</f>
        <v>0</v>
      </c>
      <c r="F27" s="22">
        <f>+F19*$S$27</f>
        <v>0</v>
      </c>
      <c r="G27" s="22">
        <f>+G19*$S$27</f>
        <v>0</v>
      </c>
      <c r="H27" s="22">
        <f>+H19*$S$27</f>
        <v>0</v>
      </c>
      <c r="I27" s="22">
        <f>+I19*$S$27</f>
        <v>0</v>
      </c>
      <c r="J27" s="19">
        <f t="shared" si="6"/>
        <v>0</v>
      </c>
      <c r="L27" s="259"/>
      <c r="M27" s="329"/>
      <c r="N27" s="15"/>
      <c r="O27" s="15"/>
      <c r="P27" s="15"/>
      <c r="Q27" s="15"/>
      <c r="R27" s="331"/>
      <c r="S27" s="326">
        <v>0.35599999999999998</v>
      </c>
      <c r="U27" s="2" t="s">
        <v>110</v>
      </c>
    </row>
    <row r="28" spans="1:21">
      <c r="A28" s="17"/>
      <c r="B28" s="18" t="s">
        <v>46</v>
      </c>
      <c r="C28" s="18"/>
      <c r="D28" s="18"/>
      <c r="E28" s="22">
        <f>SUM(E23:E27)</f>
        <v>6861</v>
      </c>
      <c r="F28" s="22">
        <f t="shared" ref="F28:I28" si="14">SUM(F23:F27)</f>
        <v>9269</v>
      </c>
      <c r="G28" s="22">
        <f t="shared" si="14"/>
        <v>9547</v>
      </c>
      <c r="H28" s="22">
        <f t="shared" si="14"/>
        <v>9085</v>
      </c>
      <c r="I28" s="22">
        <f t="shared" si="14"/>
        <v>0</v>
      </c>
      <c r="J28" s="19">
        <f t="shared" si="6"/>
        <v>34762</v>
      </c>
      <c r="L28" s="259"/>
      <c r="M28" s="329"/>
      <c r="N28" s="15"/>
      <c r="O28" s="15"/>
      <c r="P28" s="15"/>
      <c r="Q28" s="15"/>
      <c r="R28" s="331"/>
      <c r="S28" s="16"/>
    </row>
    <row r="29" spans="1:21" s="34" customFormat="1">
      <c r="A29" s="30"/>
      <c r="B29" s="31" t="s">
        <v>23</v>
      </c>
      <c r="C29" s="31"/>
      <c r="D29" s="31"/>
      <c r="E29" s="32">
        <f>E28+E21</f>
        <v>97133.520746370006</v>
      </c>
      <c r="F29" s="32">
        <f>F28+F21</f>
        <v>77004.643184380562</v>
      </c>
      <c r="G29" s="32">
        <f>G28+G21</f>
        <v>79314.712479911963</v>
      </c>
      <c r="H29" s="32">
        <f>H28+H21</f>
        <v>71081.42177654746</v>
      </c>
      <c r="I29" s="32">
        <f>I28+I21</f>
        <v>0</v>
      </c>
      <c r="J29" s="33">
        <f t="shared" si="6"/>
        <v>324534.29818720999</v>
      </c>
      <c r="L29" s="257"/>
      <c r="M29" s="306"/>
      <c r="N29" s="52"/>
      <c r="O29" s="52"/>
      <c r="P29" s="52"/>
      <c r="Q29" s="52"/>
      <c r="R29" s="330"/>
      <c r="S29" s="16"/>
    </row>
    <row r="30" spans="1:21">
      <c r="A30" s="23" t="s">
        <v>22</v>
      </c>
      <c r="B30" s="18" t="s">
        <v>45</v>
      </c>
      <c r="C30" s="18"/>
      <c r="D30" s="18"/>
      <c r="E30" s="29"/>
      <c r="F30" s="29"/>
      <c r="G30" s="29"/>
      <c r="H30" s="29"/>
      <c r="I30" s="29"/>
      <c r="J30" s="19"/>
      <c r="L30" s="259"/>
      <c r="M30" s="329"/>
      <c r="N30" s="15"/>
      <c r="O30" s="15"/>
      <c r="P30" s="15"/>
      <c r="Q30" s="15"/>
      <c r="R30" s="331"/>
      <c r="S30" s="16"/>
    </row>
    <row r="31" spans="1:21" hidden="1">
      <c r="A31" s="17"/>
      <c r="B31" s="21"/>
      <c r="C31" s="18"/>
      <c r="D31" s="36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9">
        <f t="shared" si="6"/>
        <v>0</v>
      </c>
      <c r="L31" s="259"/>
      <c r="M31" s="329"/>
      <c r="N31" s="15"/>
      <c r="O31" s="15"/>
      <c r="P31" s="15"/>
      <c r="Q31" s="15"/>
      <c r="R31" s="331"/>
      <c r="S31" s="16"/>
    </row>
    <row r="32" spans="1:21" hidden="1">
      <c r="A32" s="17"/>
      <c r="B32" s="268"/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19">
        <f t="shared" si="6"/>
        <v>0</v>
      </c>
      <c r="L32" s="259"/>
      <c r="M32" s="329"/>
      <c r="N32" s="15"/>
      <c r="O32" s="15"/>
      <c r="P32" s="15"/>
      <c r="Q32" s="15"/>
      <c r="R32" s="331"/>
      <c r="S32" s="16"/>
    </row>
    <row r="33" spans="1:19">
      <c r="A33" s="17"/>
      <c r="B33" s="18" t="s">
        <v>21</v>
      </c>
      <c r="C33" s="18"/>
      <c r="D33" s="18"/>
      <c r="E33" s="22">
        <f>+E31+E32</f>
        <v>0</v>
      </c>
      <c r="F33" s="22">
        <f t="shared" ref="F33:I33" si="15">+F31+F32</f>
        <v>0</v>
      </c>
      <c r="G33" s="22">
        <f t="shared" si="15"/>
        <v>0</v>
      </c>
      <c r="H33" s="22">
        <f t="shared" si="15"/>
        <v>0</v>
      </c>
      <c r="I33" s="22">
        <f t="shared" si="15"/>
        <v>0</v>
      </c>
      <c r="J33" s="19">
        <f t="shared" si="6"/>
        <v>0</v>
      </c>
      <c r="L33" s="259"/>
      <c r="M33" s="329"/>
      <c r="N33" s="15"/>
      <c r="O33" s="15"/>
      <c r="P33" s="15"/>
      <c r="Q33" s="15"/>
      <c r="R33" s="331"/>
      <c r="S33" s="16"/>
    </row>
    <row r="34" spans="1:19">
      <c r="A34" s="23" t="s">
        <v>20</v>
      </c>
      <c r="B34" s="18" t="s">
        <v>19</v>
      </c>
      <c r="C34" s="18" t="s">
        <v>43</v>
      </c>
      <c r="D34" s="18"/>
      <c r="E34" s="22">
        <v>3250</v>
      </c>
      <c r="F34" s="22">
        <v>3250</v>
      </c>
      <c r="G34" s="22">
        <v>3250</v>
      </c>
      <c r="H34" s="22">
        <v>3224</v>
      </c>
      <c r="I34" s="22"/>
      <c r="J34" s="19">
        <f t="shared" si="6"/>
        <v>12974</v>
      </c>
      <c r="L34" s="259"/>
      <c r="M34" s="329"/>
      <c r="N34" s="15"/>
      <c r="O34" s="15"/>
      <c r="P34" s="15"/>
      <c r="Q34" s="15"/>
      <c r="R34" s="331"/>
      <c r="S34" s="16"/>
    </row>
    <row r="35" spans="1:19">
      <c r="A35" s="17"/>
      <c r="B35" s="39"/>
      <c r="C35" s="18" t="s">
        <v>18</v>
      </c>
      <c r="D35" s="18"/>
      <c r="E35" s="22">
        <v>0</v>
      </c>
      <c r="F35" s="22">
        <v>0</v>
      </c>
      <c r="G35" s="22">
        <v>0</v>
      </c>
      <c r="H35" s="22"/>
      <c r="I35" s="22"/>
      <c r="J35" s="19">
        <f t="shared" si="6"/>
        <v>0</v>
      </c>
      <c r="L35" s="259"/>
      <c r="M35" s="329"/>
      <c r="N35" s="15"/>
      <c r="O35" s="15"/>
      <c r="P35" s="15"/>
      <c r="Q35" s="15"/>
      <c r="R35" s="331"/>
      <c r="S35" s="16"/>
    </row>
    <row r="36" spans="1:19">
      <c r="A36" s="17"/>
      <c r="B36" s="2" t="s">
        <v>47</v>
      </c>
      <c r="E36" s="22">
        <f>SUM(E34:E35)</f>
        <v>3250</v>
      </c>
      <c r="F36" s="22">
        <f>SUM(F34:F35)</f>
        <v>3250</v>
      </c>
      <c r="G36" s="22">
        <f>SUM(G34:G35)</f>
        <v>3250</v>
      </c>
      <c r="H36" s="22">
        <f>SUM(H34:H35)</f>
        <v>3224</v>
      </c>
      <c r="I36" s="22"/>
      <c r="J36" s="19">
        <f t="shared" si="6"/>
        <v>12974</v>
      </c>
      <c r="L36" s="259"/>
      <c r="M36" s="329"/>
      <c r="N36" s="15"/>
      <c r="O36" s="15"/>
      <c r="P36" s="15"/>
      <c r="Q36" s="15"/>
      <c r="R36" s="331"/>
      <c r="S36" s="16"/>
    </row>
    <row r="37" spans="1:19">
      <c r="A37" s="40" t="s">
        <v>17</v>
      </c>
      <c r="B37" s="39" t="s">
        <v>16</v>
      </c>
      <c r="C37" s="41"/>
      <c r="D37" s="41"/>
      <c r="E37" s="42"/>
      <c r="F37" s="42"/>
      <c r="G37" s="42"/>
      <c r="H37" s="42"/>
      <c r="I37" s="42"/>
      <c r="J37" s="19">
        <f t="shared" si="6"/>
        <v>0</v>
      </c>
      <c r="L37" s="259"/>
      <c r="M37" s="329"/>
      <c r="N37" s="15"/>
      <c r="O37" s="15"/>
      <c r="P37" s="15"/>
      <c r="Q37" s="15"/>
      <c r="R37" s="331"/>
      <c r="S37" s="16"/>
    </row>
    <row r="38" spans="1:19" hidden="1">
      <c r="A38" s="17"/>
      <c r="B38" s="121" t="s">
        <v>15</v>
      </c>
      <c r="C38" s="44">
        <v>0</v>
      </c>
      <c r="E38" s="22"/>
      <c r="F38" s="22">
        <v>0</v>
      </c>
      <c r="G38" s="22">
        <v>0</v>
      </c>
      <c r="H38" s="22">
        <v>0</v>
      </c>
      <c r="I38" s="22">
        <v>0</v>
      </c>
      <c r="J38" s="19">
        <f t="shared" si="6"/>
        <v>0</v>
      </c>
      <c r="L38" s="259"/>
      <c r="M38" s="329"/>
      <c r="N38" s="15"/>
      <c r="O38" s="15"/>
      <c r="P38" s="15"/>
      <c r="Q38" s="15"/>
      <c r="R38" s="331"/>
      <c r="S38" s="16"/>
    </row>
    <row r="39" spans="1:19" hidden="1">
      <c r="A39" s="17"/>
      <c r="B39" s="121" t="s">
        <v>14</v>
      </c>
      <c r="C39" s="44">
        <v>0</v>
      </c>
      <c r="E39" s="22"/>
      <c r="F39" s="22"/>
      <c r="G39" s="22"/>
      <c r="H39" s="22"/>
      <c r="I39" s="22"/>
      <c r="J39" s="19">
        <f t="shared" si="6"/>
        <v>0</v>
      </c>
      <c r="L39" s="259"/>
      <c r="M39" s="329"/>
      <c r="N39" s="15"/>
      <c r="O39" s="15"/>
      <c r="P39" s="15"/>
      <c r="Q39" s="15"/>
      <c r="R39" s="331"/>
      <c r="S39" s="16"/>
    </row>
    <row r="40" spans="1:19" hidden="1">
      <c r="A40" s="17"/>
      <c r="B40" s="269" t="s">
        <v>13</v>
      </c>
      <c r="C40" s="44">
        <v>0</v>
      </c>
      <c r="E40" s="22"/>
      <c r="F40" s="22"/>
      <c r="G40" s="22"/>
      <c r="H40" s="22"/>
      <c r="I40" s="22"/>
      <c r="J40" s="19">
        <f t="shared" si="6"/>
        <v>0</v>
      </c>
      <c r="L40" s="259"/>
      <c r="M40" s="329"/>
      <c r="N40" s="15"/>
      <c r="O40" s="15"/>
      <c r="P40" s="15"/>
      <c r="Q40" s="15"/>
      <c r="R40" s="331"/>
      <c r="S40" s="16"/>
    </row>
    <row r="41" spans="1:19" hidden="1">
      <c r="A41" s="17"/>
      <c r="B41" s="2" t="s">
        <v>12</v>
      </c>
      <c r="C41" s="44">
        <v>0</v>
      </c>
      <c r="E41" s="22"/>
      <c r="F41" s="22"/>
      <c r="G41" s="22"/>
      <c r="H41" s="22"/>
      <c r="I41" s="22"/>
      <c r="J41" s="19">
        <f t="shared" si="6"/>
        <v>0</v>
      </c>
      <c r="L41" s="259"/>
      <c r="M41" s="329"/>
      <c r="N41" s="15"/>
      <c r="O41" s="15"/>
      <c r="P41" s="15"/>
      <c r="Q41" s="15"/>
      <c r="R41" s="331"/>
      <c r="S41" s="16"/>
    </row>
    <row r="42" spans="1:19" ht="14.25" hidden="1" customHeight="1">
      <c r="A42" s="17"/>
      <c r="C42" s="270"/>
      <c r="E42" s="22"/>
      <c r="F42" s="22"/>
      <c r="G42" s="22"/>
      <c r="H42" s="22"/>
      <c r="I42" s="22"/>
      <c r="J42" s="19">
        <f t="shared" si="6"/>
        <v>0</v>
      </c>
      <c r="L42" s="259"/>
      <c r="M42" s="329"/>
      <c r="N42" s="15"/>
      <c r="O42" s="15"/>
      <c r="P42" s="15"/>
      <c r="Q42" s="15"/>
      <c r="R42" s="331"/>
      <c r="S42" s="16"/>
    </row>
    <row r="43" spans="1:19">
      <c r="A43" s="40"/>
      <c r="B43" s="46" t="s">
        <v>11</v>
      </c>
      <c r="C43" s="47"/>
      <c r="D43" s="39"/>
      <c r="E43" s="22">
        <f>SUM(E38:E41)</f>
        <v>0</v>
      </c>
      <c r="F43" s="22">
        <f t="shared" ref="F43:I43" si="16">SUM(F38:F41)</f>
        <v>0</v>
      </c>
      <c r="G43" s="22">
        <f t="shared" si="16"/>
        <v>0</v>
      </c>
      <c r="H43" s="22">
        <f t="shared" si="16"/>
        <v>0</v>
      </c>
      <c r="I43" s="22">
        <f t="shared" si="16"/>
        <v>0</v>
      </c>
      <c r="J43" s="19">
        <f t="shared" si="6"/>
        <v>0</v>
      </c>
      <c r="L43" s="259"/>
      <c r="M43" s="329"/>
      <c r="N43" s="15"/>
      <c r="O43" s="15"/>
      <c r="P43" s="15"/>
      <c r="Q43" s="15"/>
      <c r="R43" s="331"/>
      <c r="S43" s="16"/>
    </row>
    <row r="44" spans="1:19">
      <c r="A44" s="23" t="s">
        <v>10</v>
      </c>
      <c r="B44" s="18" t="s">
        <v>9</v>
      </c>
      <c r="C44" s="18"/>
      <c r="D44" s="18"/>
      <c r="E44" s="42"/>
      <c r="F44" s="42"/>
      <c r="G44" s="42"/>
      <c r="H44" s="42"/>
      <c r="I44" s="42"/>
      <c r="J44" s="19"/>
      <c r="L44" s="259"/>
      <c r="M44" s="329"/>
      <c r="N44" s="15"/>
      <c r="O44" s="15"/>
      <c r="P44" s="15"/>
      <c r="Q44" s="15"/>
      <c r="R44" s="331"/>
      <c r="S44" s="16"/>
    </row>
    <row r="45" spans="1:19">
      <c r="A45" s="17"/>
      <c r="B45" s="21" t="s">
        <v>8</v>
      </c>
      <c r="C45" s="18"/>
      <c r="D45" s="18"/>
      <c r="E45" s="22"/>
      <c r="F45" s="22"/>
      <c r="G45" s="22"/>
      <c r="H45" s="22"/>
      <c r="I45" s="22"/>
      <c r="J45" s="19">
        <v>0</v>
      </c>
      <c r="L45" s="259"/>
      <c r="M45" s="329"/>
      <c r="N45" s="15"/>
      <c r="O45" s="15"/>
      <c r="P45" s="15"/>
      <c r="Q45" s="15"/>
      <c r="R45" s="331"/>
      <c r="S45" s="16"/>
    </row>
    <row r="46" spans="1:19">
      <c r="A46" s="17"/>
      <c r="B46" s="21" t="s">
        <v>303</v>
      </c>
      <c r="C46" s="18"/>
      <c r="D46" s="18"/>
      <c r="E46" s="22">
        <v>0</v>
      </c>
      <c r="F46" s="22"/>
      <c r="G46" s="22"/>
      <c r="H46" s="22"/>
      <c r="I46" s="22"/>
      <c r="J46" s="19">
        <f t="shared" si="6"/>
        <v>0</v>
      </c>
      <c r="L46" s="259"/>
      <c r="M46" s="329"/>
      <c r="N46" s="15"/>
      <c r="O46" s="15"/>
      <c r="P46" s="15"/>
      <c r="Q46" s="15"/>
      <c r="R46" s="331"/>
      <c r="S46" s="16"/>
    </row>
    <row r="47" spans="1:19">
      <c r="A47" s="17"/>
      <c r="B47" s="21" t="s">
        <v>7</v>
      </c>
      <c r="C47" s="18"/>
      <c r="D47" s="18"/>
      <c r="E47" s="22">
        <v>0</v>
      </c>
      <c r="F47" s="22">
        <v>0</v>
      </c>
      <c r="G47" s="22">
        <v>0</v>
      </c>
      <c r="H47" s="22"/>
      <c r="I47" s="22"/>
      <c r="J47" s="19">
        <f t="shared" si="6"/>
        <v>0</v>
      </c>
      <c r="L47" s="259"/>
      <c r="M47" s="329"/>
      <c r="N47" s="15"/>
      <c r="O47" s="15"/>
      <c r="P47" s="15"/>
      <c r="Q47" s="15"/>
      <c r="R47" s="331"/>
      <c r="S47" s="16"/>
    </row>
    <row r="48" spans="1:19">
      <c r="A48" s="17"/>
      <c r="B48" s="21" t="s">
        <v>287</v>
      </c>
      <c r="C48" s="18"/>
      <c r="D48" s="18"/>
      <c r="E48" s="22">
        <v>0</v>
      </c>
      <c r="F48" s="22">
        <v>0</v>
      </c>
      <c r="G48" s="22">
        <v>0</v>
      </c>
      <c r="H48" s="22"/>
      <c r="I48" s="22"/>
      <c r="J48" s="19">
        <f t="shared" si="6"/>
        <v>0</v>
      </c>
      <c r="L48" s="259"/>
      <c r="M48" s="329"/>
      <c r="N48" s="15"/>
      <c r="O48" s="15"/>
      <c r="P48" s="15"/>
      <c r="Q48" s="15"/>
      <c r="R48" s="331"/>
      <c r="S48" s="16"/>
    </row>
    <row r="49" spans="1:19">
      <c r="A49" s="17"/>
      <c r="B49" s="21" t="s">
        <v>6</v>
      </c>
      <c r="C49" s="48"/>
      <c r="D49" s="286">
        <v>2</v>
      </c>
      <c r="E49" s="22"/>
      <c r="F49" s="22"/>
      <c r="G49" s="22"/>
      <c r="H49" s="22"/>
      <c r="I49" s="22"/>
      <c r="J49" s="19">
        <f t="shared" si="6"/>
        <v>0</v>
      </c>
      <c r="L49" s="259"/>
      <c r="M49" s="329"/>
      <c r="N49" s="15"/>
      <c r="O49" s="15"/>
      <c r="P49" s="15"/>
      <c r="Q49" s="15"/>
      <c r="R49" s="331"/>
      <c r="S49" s="16"/>
    </row>
    <row r="50" spans="1:19">
      <c r="A50" s="17"/>
      <c r="B50" s="21" t="s">
        <v>290</v>
      </c>
      <c r="C50" s="48"/>
      <c r="D50" s="309"/>
      <c r="E50" s="22"/>
      <c r="F50" s="22"/>
      <c r="G50" s="22"/>
      <c r="H50" s="22"/>
      <c r="I50" s="22"/>
      <c r="J50" s="19"/>
      <c r="L50" s="259"/>
      <c r="M50" s="329"/>
      <c r="N50" s="15"/>
      <c r="O50" s="15"/>
      <c r="P50" s="15"/>
      <c r="Q50" s="15"/>
      <c r="R50" s="331"/>
      <c r="S50" s="16"/>
    </row>
    <row r="51" spans="1:19">
      <c r="A51" s="17"/>
      <c r="B51" s="21" t="s">
        <v>289</v>
      </c>
      <c r="C51" s="18"/>
      <c r="D51" s="18"/>
      <c r="E51" s="22">
        <f>N51*$M51</f>
        <v>0</v>
      </c>
      <c r="F51" s="22">
        <f>$M51*$S51*O51+1</f>
        <v>8363.57</v>
      </c>
      <c r="G51" s="22">
        <f>$M51*$S51^2*P51</f>
        <v>8613.4471000000012</v>
      </c>
      <c r="H51" s="22">
        <f>$M51*$S51^3*Q51</f>
        <v>8871.8505130000012</v>
      </c>
      <c r="I51" s="22"/>
      <c r="J51" s="19">
        <f t="shared" si="6"/>
        <v>25848.867613000002</v>
      </c>
      <c r="L51" s="49">
        <v>16238</v>
      </c>
      <c r="M51" s="96">
        <f>+L51/12</f>
        <v>1353.1666666666667</v>
      </c>
      <c r="N51" s="50">
        <f>N16</f>
        <v>0</v>
      </c>
      <c r="O51" s="50">
        <f>+O16</f>
        <v>6</v>
      </c>
      <c r="P51" s="50">
        <f t="shared" ref="P51:R52" si="17">P16</f>
        <v>6</v>
      </c>
      <c r="Q51" s="50">
        <f t="shared" si="17"/>
        <v>6</v>
      </c>
      <c r="R51" s="50">
        <f t="shared" si="17"/>
        <v>0</v>
      </c>
      <c r="S51" s="328">
        <v>1.03</v>
      </c>
    </row>
    <row r="52" spans="1:19">
      <c r="A52" s="17"/>
      <c r="B52" s="308" t="s">
        <v>127</v>
      </c>
      <c r="C52" s="307"/>
      <c r="D52" s="18"/>
      <c r="E52" s="22">
        <f>N52*$M52</f>
        <v>0</v>
      </c>
      <c r="F52" s="22">
        <f>$M52*$S52*O52</f>
        <v>0</v>
      </c>
      <c r="G52" s="22">
        <f>$M52*$S52^2*P52</f>
        <v>0</v>
      </c>
      <c r="H52" s="22">
        <v>0</v>
      </c>
      <c r="I52" s="22"/>
      <c r="J52" s="19">
        <f t="shared" ref="J52" si="18">SUM(E52:I52)</f>
        <v>0</v>
      </c>
      <c r="L52" s="49">
        <v>2647.68</v>
      </c>
      <c r="M52" s="96">
        <f>+L52/12</f>
        <v>220.64</v>
      </c>
      <c r="N52" s="50">
        <f>N17</f>
        <v>0</v>
      </c>
      <c r="O52" s="50">
        <f>O17</f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328">
        <v>1.03</v>
      </c>
    </row>
    <row r="53" spans="1:19">
      <c r="A53" s="17"/>
      <c r="B53" s="18" t="s">
        <v>48</v>
      </c>
      <c r="C53" s="18"/>
      <c r="D53" s="18"/>
      <c r="E53" s="22">
        <f>SUM(E45:E52)</f>
        <v>0</v>
      </c>
      <c r="F53" s="22">
        <f t="shared" ref="F53:I53" si="19">SUM(F45:F52)</f>
        <v>8363.57</v>
      </c>
      <c r="G53" s="22">
        <f t="shared" si="19"/>
        <v>8613.4471000000012</v>
      </c>
      <c r="H53" s="22">
        <f t="shared" si="19"/>
        <v>8871.8505130000012</v>
      </c>
      <c r="I53" s="22">
        <f t="shared" si="19"/>
        <v>0</v>
      </c>
      <c r="J53" s="19">
        <f t="shared" si="6"/>
        <v>25848.867613000002</v>
      </c>
      <c r="L53" s="257"/>
      <c r="M53" s="306"/>
      <c r="N53" s="123"/>
      <c r="O53" s="123"/>
      <c r="P53" s="123"/>
      <c r="Q53" s="123"/>
      <c r="R53" s="123"/>
      <c r="S53" s="53"/>
    </row>
    <row r="54" spans="1:19" s="34" customFormat="1">
      <c r="A54" s="51" t="s">
        <v>5</v>
      </c>
      <c r="B54" s="31" t="s">
        <v>4</v>
      </c>
      <c r="C54" s="31"/>
      <c r="D54" s="31"/>
      <c r="E54" s="32">
        <f>E29+E33+E43+E53+E36</f>
        <v>100383.52074637001</v>
      </c>
      <c r="F54" s="32">
        <f t="shared" ref="F54:H54" si="20">F29+F33+F43+F53+F36</f>
        <v>88618.213184380555</v>
      </c>
      <c r="G54" s="32">
        <f t="shared" si="20"/>
        <v>91178.159579911968</v>
      </c>
      <c r="H54" s="32">
        <f t="shared" si="20"/>
        <v>83177.272289547458</v>
      </c>
      <c r="I54" s="32">
        <f t="shared" ref="I54" si="21">I29+I33+I43+I53+I34+I35</f>
        <v>0</v>
      </c>
      <c r="J54" s="33">
        <f t="shared" si="6"/>
        <v>363357.16580020997</v>
      </c>
      <c r="L54" s="257"/>
      <c r="M54" s="306"/>
      <c r="N54" s="123"/>
      <c r="O54" s="123"/>
      <c r="P54" s="123"/>
      <c r="Q54" s="123"/>
      <c r="R54" s="123"/>
      <c r="S54" s="53"/>
    </row>
    <row r="55" spans="1:19">
      <c r="A55" s="285"/>
      <c r="B55" s="54" t="s">
        <v>291</v>
      </c>
      <c r="C55" s="54"/>
      <c r="D55" s="55"/>
      <c r="E55" s="56">
        <f>+E54-E49-E51-E52+25000*D49</f>
        <v>150383.52074637002</v>
      </c>
      <c r="F55" s="56">
        <f>+F54-F49-F51-F52-F43-F33</f>
        <v>80254.643184380548</v>
      </c>
      <c r="G55" s="56">
        <f t="shared" ref="G55:H55" si="22">+G54-G49-G51-G52-G43-G33</f>
        <v>82564.712479911963</v>
      </c>
      <c r="H55" s="56">
        <f t="shared" si="22"/>
        <v>74305.42177654746</v>
      </c>
      <c r="I55" s="56">
        <f t="shared" ref="I55" si="23">+I54-I51--I52-I33-I49-I43</f>
        <v>0</v>
      </c>
      <c r="J55" s="57">
        <f t="shared" si="6"/>
        <v>387508.29818720999</v>
      </c>
      <c r="L55" s="259"/>
      <c r="M55" s="329"/>
      <c r="N55" s="24"/>
      <c r="O55" s="24"/>
      <c r="P55" s="24"/>
      <c r="Q55" s="24"/>
      <c r="R55" s="24"/>
      <c r="S55" s="16"/>
    </row>
    <row r="56" spans="1:19" s="34" customFormat="1" ht="15" thickBot="1">
      <c r="A56" s="30" t="s">
        <v>3</v>
      </c>
      <c r="B56" s="58" t="s">
        <v>261</v>
      </c>
      <c r="C56" s="58"/>
      <c r="D56" s="287">
        <v>0.38700000000000001</v>
      </c>
      <c r="E56" s="32">
        <f>+E55*$D$56</f>
        <v>58198.4225288452</v>
      </c>
      <c r="F56" s="32">
        <f>+F55*$D$56</f>
        <v>31058.546912355272</v>
      </c>
      <c r="G56" s="32">
        <f>+G55*$D$56</f>
        <v>31952.54372972593</v>
      </c>
      <c r="H56" s="32">
        <f>+H55*$D$56</f>
        <v>28756.19822752387</v>
      </c>
      <c r="I56" s="271">
        <f>+I55*$D$56</f>
        <v>0</v>
      </c>
      <c r="J56" s="288">
        <f t="shared" si="6"/>
        <v>149965.71139845028</v>
      </c>
      <c r="L56" s="257"/>
      <c r="M56" s="306"/>
      <c r="N56" s="123"/>
      <c r="O56" s="123"/>
      <c r="P56" s="123"/>
      <c r="Q56" s="123"/>
      <c r="R56" s="123"/>
      <c r="S56" s="303"/>
    </row>
    <row r="57" spans="1:19" s="34" customFormat="1" ht="21" customHeight="1" thickBot="1">
      <c r="A57" s="234" t="s">
        <v>1</v>
      </c>
      <c r="B57" s="293" t="s">
        <v>0</v>
      </c>
      <c r="C57" s="293"/>
      <c r="D57" s="293"/>
      <c r="E57" s="294">
        <f>+E56+E54</f>
        <v>158581.94327521522</v>
      </c>
      <c r="F57" s="294">
        <f t="shared" ref="F57:H57" si="24">+F56+F54</f>
        <v>119676.76009673583</v>
      </c>
      <c r="G57" s="294">
        <f t="shared" si="24"/>
        <v>123130.7033096379</v>
      </c>
      <c r="H57" s="294">
        <f t="shared" si="24"/>
        <v>111933.47051707133</v>
      </c>
      <c r="I57" s="64">
        <f>I56+I54</f>
        <v>0</v>
      </c>
      <c r="J57" s="301">
        <f t="shared" si="6"/>
        <v>513322.87719866028</v>
      </c>
      <c r="K57" s="65"/>
      <c r="L57" s="272"/>
      <c r="M57" s="304"/>
      <c r="N57" s="273"/>
      <c r="O57" s="273"/>
      <c r="P57" s="273"/>
      <c r="Q57" s="273"/>
      <c r="R57" s="273"/>
      <c r="S57" s="305"/>
    </row>
    <row r="58" spans="1:19" s="34" customFormat="1">
      <c r="E58" s="274"/>
      <c r="F58" s="274"/>
      <c r="G58" s="274"/>
      <c r="H58" s="274"/>
      <c r="I58" s="274"/>
      <c r="J58" s="274"/>
      <c r="K58" s="65"/>
      <c r="L58" s="66"/>
      <c r="M58" s="66"/>
    </row>
    <row r="59" spans="1:19" s="34" customFormat="1">
      <c r="B59" s="2" t="s">
        <v>262</v>
      </c>
      <c r="C59" s="2"/>
      <c r="D59" s="2"/>
      <c r="E59" s="67">
        <f>+E55*0.55</f>
        <v>82710.93641050352</v>
      </c>
      <c r="F59" s="67">
        <f t="shared" ref="F59:H59" si="25">+F55*0.55</f>
        <v>44140.053751409301</v>
      </c>
      <c r="G59" s="67">
        <f t="shared" si="25"/>
        <v>45410.59186395158</v>
      </c>
      <c r="H59" s="67">
        <f t="shared" si="25"/>
        <v>40867.98197710111</v>
      </c>
      <c r="I59" s="67"/>
      <c r="J59" s="67">
        <f t="shared" ref="J59:J65" si="26">SUM(E59:I59)</f>
        <v>213129.56400296552</v>
      </c>
      <c r="K59" s="65"/>
      <c r="L59" s="275"/>
      <c r="M59" s="66"/>
    </row>
    <row r="60" spans="1:19" s="34" customFormat="1">
      <c r="B60" s="2"/>
      <c r="C60" s="2" t="s">
        <v>263</v>
      </c>
      <c r="D60" s="2"/>
      <c r="E60" s="67">
        <f>+E69*0.3</f>
        <v>20000.009999999998</v>
      </c>
      <c r="F60" s="67">
        <f t="shared" ref="F60:H62" si="27">+F69*0.3</f>
        <v>20000.009999999998</v>
      </c>
      <c r="G60" s="67">
        <f t="shared" si="27"/>
        <v>20000.009999999998</v>
      </c>
      <c r="H60" s="67">
        <f t="shared" si="27"/>
        <v>20000.009999999998</v>
      </c>
      <c r="I60" s="67"/>
      <c r="J60" s="67">
        <f t="shared" si="26"/>
        <v>80000.039999999994</v>
      </c>
      <c r="K60" s="65"/>
      <c r="L60" s="66"/>
      <c r="M60" s="66"/>
    </row>
    <row r="61" spans="1:19" s="34" customFormat="1">
      <c r="B61" s="2"/>
      <c r="C61" s="2" t="s">
        <v>264</v>
      </c>
      <c r="D61" s="2"/>
      <c r="E61" s="67">
        <f>+E70*0.3</f>
        <v>20000.009999999998</v>
      </c>
      <c r="F61" s="67">
        <f t="shared" si="27"/>
        <v>20000.009999999998</v>
      </c>
      <c r="G61" s="67">
        <f t="shared" si="27"/>
        <v>20000.009999999998</v>
      </c>
      <c r="H61" s="67">
        <f t="shared" si="27"/>
        <v>20000.009999999998</v>
      </c>
      <c r="I61" s="67"/>
      <c r="J61" s="67">
        <f t="shared" si="26"/>
        <v>80000.039999999994</v>
      </c>
      <c r="K61" s="65"/>
      <c r="L61" s="66"/>
      <c r="M61" s="66"/>
    </row>
    <row r="62" spans="1:19" s="34" customFormat="1">
      <c r="B62" s="34" t="s">
        <v>265</v>
      </c>
      <c r="E62" s="274">
        <f>+E71*0.3</f>
        <v>60000.029999999992</v>
      </c>
      <c r="F62" s="274">
        <f t="shared" si="27"/>
        <v>60000.029999999992</v>
      </c>
      <c r="G62" s="274">
        <f t="shared" si="27"/>
        <v>60000.029999999992</v>
      </c>
      <c r="H62" s="274">
        <f t="shared" si="27"/>
        <v>60000.029999999992</v>
      </c>
      <c r="I62" s="274">
        <f>+(I54)/0.7*0.3</f>
        <v>0</v>
      </c>
      <c r="J62" s="274">
        <f t="shared" si="26"/>
        <v>240000.11999999997</v>
      </c>
      <c r="K62" s="65"/>
      <c r="L62" s="66"/>
      <c r="M62" s="66"/>
    </row>
    <row r="63" spans="1:19" s="34" customFormat="1">
      <c r="B63" s="276"/>
      <c r="C63" s="2" t="s">
        <v>263</v>
      </c>
      <c r="D63" s="2"/>
      <c r="E63" s="67">
        <f>+E$69*0.3</f>
        <v>20000.009999999998</v>
      </c>
      <c r="F63" s="67">
        <f t="shared" ref="F63:H64" si="28">+F$69*0.3</f>
        <v>20000.009999999998</v>
      </c>
      <c r="G63" s="67">
        <f t="shared" si="28"/>
        <v>20000.009999999998</v>
      </c>
      <c r="H63" s="67">
        <f t="shared" si="28"/>
        <v>20000.009999999998</v>
      </c>
      <c r="I63" s="67"/>
      <c r="J63" s="67">
        <f t="shared" si="26"/>
        <v>80000.039999999994</v>
      </c>
      <c r="K63" s="65"/>
    </row>
    <row r="64" spans="1:19" s="34" customFormat="1">
      <c r="B64" s="276"/>
      <c r="C64" s="2" t="s">
        <v>264</v>
      </c>
      <c r="D64" s="2"/>
      <c r="E64" s="67">
        <f>+E$69*0.3</f>
        <v>20000.009999999998</v>
      </c>
      <c r="F64" s="67">
        <f t="shared" si="28"/>
        <v>20000.009999999998</v>
      </c>
      <c r="G64" s="67">
        <f t="shared" si="28"/>
        <v>20000.009999999998</v>
      </c>
      <c r="H64" s="67">
        <f t="shared" si="28"/>
        <v>20000.009999999998</v>
      </c>
      <c r="I64" s="67"/>
      <c r="J64" s="67">
        <f t="shared" si="26"/>
        <v>80000.039999999994</v>
      </c>
      <c r="K64" s="65"/>
      <c r="L64" s="277"/>
      <c r="M64" s="277"/>
    </row>
    <row r="65" spans="1:16143" s="34" customFormat="1">
      <c r="B65" s="276"/>
      <c r="C65" s="278" t="s">
        <v>266</v>
      </c>
      <c r="D65" s="278"/>
      <c r="E65" s="279">
        <f>+E62-E63-E64</f>
        <v>20000.009999999991</v>
      </c>
      <c r="F65" s="279">
        <f t="shared" ref="F65:I65" si="29">+F62-F63-F64</f>
        <v>20000.009999999991</v>
      </c>
      <c r="G65" s="279">
        <f t="shared" si="29"/>
        <v>20000.009999999991</v>
      </c>
      <c r="H65" s="279">
        <f t="shared" si="29"/>
        <v>20000.009999999991</v>
      </c>
      <c r="I65" s="279">
        <f t="shared" si="29"/>
        <v>0</v>
      </c>
      <c r="J65" s="279">
        <f t="shared" si="26"/>
        <v>80000.039999999964</v>
      </c>
      <c r="K65" s="65"/>
      <c r="L65" s="277"/>
      <c r="M65" s="277"/>
    </row>
    <row r="66" spans="1:16143" s="34" customFormat="1">
      <c r="B66" s="276"/>
      <c r="E66" s="274"/>
      <c r="F66" s="274"/>
      <c r="G66" s="274"/>
      <c r="H66" s="274"/>
      <c r="I66" s="274"/>
      <c r="J66" s="274"/>
      <c r="K66" s="65"/>
      <c r="L66" s="277"/>
      <c r="M66" s="277"/>
    </row>
    <row r="67" spans="1:16143" s="34" customFormat="1">
      <c r="B67" s="276"/>
      <c r="E67" s="67">
        <f>+E57-E49</f>
        <v>158581.94327521522</v>
      </c>
      <c r="F67" s="67">
        <f t="shared" ref="F67:H67" si="30">+F57-F49</f>
        <v>119676.76009673583</v>
      </c>
      <c r="G67" s="67">
        <f t="shared" si="30"/>
        <v>123130.7033096379</v>
      </c>
      <c r="H67" s="67">
        <f t="shared" si="30"/>
        <v>111933.47051707133</v>
      </c>
      <c r="I67" s="67"/>
      <c r="J67" s="67">
        <f>SUM(E67:I67)</f>
        <v>513322.87719866028</v>
      </c>
      <c r="K67" s="65"/>
      <c r="L67" s="277" t="s">
        <v>267</v>
      </c>
      <c r="M67" s="277" t="s">
        <v>268</v>
      </c>
    </row>
    <row r="68" spans="1:16143" s="34" customFormat="1">
      <c r="B68" s="280" t="s">
        <v>200</v>
      </c>
      <c r="C68" s="192"/>
      <c r="D68" s="192"/>
      <c r="E68" s="32">
        <v>66666.7</v>
      </c>
      <c r="F68" s="32">
        <v>66666.7</v>
      </c>
      <c r="G68" s="32">
        <v>66666.7</v>
      </c>
      <c r="H68" s="32">
        <v>66666.7</v>
      </c>
      <c r="I68" s="32"/>
      <c r="J68" s="32">
        <f>SUM(E68:I68)</f>
        <v>266666.8</v>
      </c>
      <c r="K68" s="65"/>
      <c r="L68" s="66">
        <f>+J68*0.7</f>
        <v>186666.75999999998</v>
      </c>
      <c r="M68" s="66">
        <f>+J68*0.3</f>
        <v>80000.039999999994</v>
      </c>
      <c r="N68" s="66"/>
    </row>
    <row r="69" spans="1:16143" s="34" customFormat="1">
      <c r="B69" s="280" t="s">
        <v>269</v>
      </c>
      <c r="C69" s="192"/>
      <c r="D69" s="192"/>
      <c r="E69" s="32">
        <v>66666.7</v>
      </c>
      <c r="F69" s="32">
        <v>66666.7</v>
      </c>
      <c r="G69" s="32">
        <v>66666.7</v>
      </c>
      <c r="H69" s="32">
        <v>66666.7</v>
      </c>
      <c r="I69" s="32"/>
      <c r="J69" s="32">
        <f>SUM(E69:I69)</f>
        <v>266666.8</v>
      </c>
      <c r="K69" s="65"/>
      <c r="L69" s="66">
        <f t="shared" ref="L69:L70" si="31">+J69*0.7</f>
        <v>186666.75999999998</v>
      </c>
      <c r="M69" s="66">
        <f>+J69*0.3</f>
        <v>80000.039999999994</v>
      </c>
      <c r="N69" s="66"/>
    </row>
    <row r="70" spans="1:16143" s="34" customFormat="1">
      <c r="B70" s="280" t="s">
        <v>270</v>
      </c>
      <c r="C70" s="192"/>
      <c r="D70" s="192"/>
      <c r="E70" s="32">
        <v>66666.7</v>
      </c>
      <c r="F70" s="32">
        <v>66666.7</v>
      </c>
      <c r="G70" s="32">
        <v>66666.7</v>
      </c>
      <c r="H70" s="32">
        <v>66666.7</v>
      </c>
      <c r="I70" s="32"/>
      <c r="J70" s="32">
        <f>SUM(E70:I70)</f>
        <v>266666.8</v>
      </c>
      <c r="K70" s="65"/>
      <c r="L70" s="66">
        <f t="shared" si="31"/>
        <v>186666.75999999998</v>
      </c>
      <c r="M70" s="66">
        <f>+J70*0.3</f>
        <v>80000.039999999994</v>
      </c>
      <c r="N70" s="66"/>
    </row>
    <row r="71" spans="1:16143" s="34" customFormat="1">
      <c r="B71" s="332" t="s">
        <v>271</v>
      </c>
      <c r="C71" s="333"/>
      <c r="D71" s="333"/>
      <c r="E71" s="334">
        <f>SUM(E68:E70)</f>
        <v>200000.09999999998</v>
      </c>
      <c r="F71" s="334">
        <f>SUM(F68:F70)</f>
        <v>200000.09999999998</v>
      </c>
      <c r="G71" s="334">
        <f>SUM(G68:G70)</f>
        <v>200000.09999999998</v>
      </c>
      <c r="H71" s="334">
        <f>SUM(H68:H70)</f>
        <v>200000.09999999998</v>
      </c>
      <c r="I71" s="334"/>
      <c r="J71" s="334">
        <f>SUM(E71:I71)</f>
        <v>800000.39999999991</v>
      </c>
      <c r="K71" s="65"/>
      <c r="L71" s="66">
        <f>SUM(L68:L70)</f>
        <v>560000.27999999991</v>
      </c>
      <c r="M71" s="66">
        <f>SUM(M68:M70)</f>
        <v>240000.12</v>
      </c>
    </row>
    <row r="72" spans="1:16143" s="3" customFormat="1" ht="24" customHeight="1">
      <c r="A72" s="2"/>
      <c r="B72" s="68"/>
      <c r="C72" s="195"/>
      <c r="D72" s="195"/>
      <c r="E72" s="281"/>
      <c r="F72" s="281"/>
      <c r="G72" s="281"/>
      <c r="H72" s="281"/>
      <c r="I72" s="281"/>
      <c r="J72" s="281"/>
      <c r="K72" s="2"/>
      <c r="L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</row>
    <row r="73" spans="1:16143" s="3" customFormat="1">
      <c r="A73" s="2"/>
      <c r="B73" s="282"/>
      <c r="C73" s="2"/>
      <c r="D73" s="2"/>
      <c r="E73" s="2"/>
      <c r="F73" s="2"/>
      <c r="G73" s="2"/>
      <c r="H73" s="2"/>
      <c r="I73" s="2"/>
      <c r="J73" s="2"/>
      <c r="K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</row>
    <row r="79" spans="1:16143" s="3" customFormat="1">
      <c r="A79" s="2"/>
      <c r="B79" s="73"/>
      <c r="C79" s="2"/>
      <c r="D79" s="2"/>
      <c r="E79" s="2"/>
      <c r="F79" s="2"/>
      <c r="G79" s="2"/>
      <c r="H79" s="2"/>
      <c r="I79" s="2"/>
      <c r="J79" s="2"/>
      <c r="K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</row>
  </sheetData>
  <mergeCells count="1">
    <mergeCell ref="E4:J4"/>
  </mergeCells>
  <pageMargins left="0.59" right="0.35" top="1" bottom="1" header="0.5" footer="0.5"/>
  <pageSetup scale="71" orientation="portrait" horizontalDpi="4294967293" verticalDpi="4294967293" r:id="rId1"/>
  <headerFooter alignWithMargins="0">
    <oddHeader>&amp;A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88E-CE9E-41F2-8A46-96344FCB65DF}">
  <dimension ref="A1:L35"/>
  <sheetViews>
    <sheetView workbookViewId="0">
      <selection activeCell="Q28" sqref="Q28"/>
    </sheetView>
  </sheetViews>
  <sheetFormatPr defaultColWidth="9.1796875" defaultRowHeight="12.5"/>
  <cols>
    <col min="1" max="1" width="32.453125" style="116" bestFit="1" customWidth="1"/>
    <col min="2" max="2" width="8.453125" style="116" customWidth="1"/>
    <col min="3" max="5" width="9.1796875" style="116"/>
    <col min="6" max="6" width="12.54296875" style="116" customWidth="1"/>
    <col min="7" max="7" width="9.1796875" style="116"/>
    <col min="8" max="8" width="10.1796875" style="116" customWidth="1"/>
    <col min="9" max="9" width="11.90625" style="116" customWidth="1"/>
    <col min="10" max="10" width="10.453125" style="116" customWidth="1"/>
    <col min="11" max="13" width="9.1796875" style="116"/>
    <col min="14" max="14" width="11.54296875" style="116" customWidth="1"/>
    <col min="15" max="16384" width="9.1796875" style="116"/>
  </cols>
  <sheetData>
    <row r="1" spans="1:8" ht="14.5">
      <c r="A1" s="34"/>
      <c r="B1" s="2"/>
      <c r="C1" s="2"/>
      <c r="D1" s="2"/>
      <c r="E1" s="115" t="s">
        <v>41</v>
      </c>
      <c r="F1" s="115" t="s">
        <v>40</v>
      </c>
      <c r="G1" s="115" t="s">
        <v>39</v>
      </c>
      <c r="H1" s="115" t="s">
        <v>114</v>
      </c>
    </row>
    <row r="2" spans="1:8" ht="14.5">
      <c r="A2" s="34"/>
      <c r="B2" s="2"/>
      <c r="C2" s="2"/>
      <c r="D2" s="2"/>
      <c r="E2" s="117">
        <v>43563</v>
      </c>
      <c r="F2" s="117">
        <v>43929</v>
      </c>
      <c r="G2" s="117">
        <v>44294</v>
      </c>
      <c r="H2" s="115" t="s">
        <v>115</v>
      </c>
    </row>
    <row r="3" spans="1:8" ht="14.5">
      <c r="A3" s="34"/>
      <c r="B3" s="2"/>
      <c r="C3" s="2"/>
      <c r="D3" s="81"/>
      <c r="E3" s="117">
        <f>DATE(YEAR(E2)+1, MONTH(E2), DAY(E2)-1)</f>
        <v>43928</v>
      </c>
      <c r="F3" s="117">
        <f>DATE(YEAR(F2)+1, MONTH(E2), DAY(E2)-1)</f>
        <v>44293</v>
      </c>
      <c r="G3" s="117">
        <f>DATE(YEAR(G2)+1, MONTH(E2), DAY(E2)-1)</f>
        <v>44658</v>
      </c>
      <c r="H3" s="115"/>
    </row>
    <row r="4" spans="1:8" ht="29">
      <c r="A4" s="2"/>
      <c r="B4" s="118" t="s">
        <v>116</v>
      </c>
      <c r="C4" s="118" t="s">
        <v>117</v>
      </c>
      <c r="D4" s="118" t="s">
        <v>118</v>
      </c>
      <c r="E4" s="2"/>
      <c r="F4" s="2"/>
      <c r="G4" s="2"/>
      <c r="H4" s="120"/>
    </row>
    <row r="5" spans="1:8" ht="14.5">
      <c r="A5" s="2" t="s">
        <v>119</v>
      </c>
      <c r="B5" s="81">
        <v>2</v>
      </c>
      <c r="C5" s="81">
        <v>3</v>
      </c>
      <c r="D5" s="394">
        <v>172</v>
      </c>
      <c r="E5" s="395">
        <f>B5*C5*D5</f>
        <v>1032</v>
      </c>
      <c r="F5" s="395">
        <f>B5*C5*D5</f>
        <v>1032</v>
      </c>
      <c r="G5" s="395">
        <f>B5*C5*D5</f>
        <v>1032</v>
      </c>
      <c r="H5" s="395">
        <f t="shared" ref="H5:H10" si="0">E5+F5+G5</f>
        <v>3096</v>
      </c>
    </row>
    <row r="6" spans="1:8" ht="14.5">
      <c r="A6" s="2" t="s">
        <v>120</v>
      </c>
      <c r="B6" s="81">
        <v>3</v>
      </c>
      <c r="C6" s="81">
        <v>3</v>
      </c>
      <c r="D6" s="394">
        <v>63</v>
      </c>
      <c r="E6" s="395">
        <f>B6*C6*D6</f>
        <v>567</v>
      </c>
      <c r="F6" s="395">
        <f>B6*C6*D6</f>
        <v>567</v>
      </c>
      <c r="G6" s="395">
        <f>B6*C6*D6</f>
        <v>567</v>
      </c>
      <c r="H6" s="395">
        <f t="shared" si="0"/>
        <v>1701</v>
      </c>
    </row>
    <row r="7" spans="1:8" ht="14.5">
      <c r="A7" s="2" t="s">
        <v>121</v>
      </c>
      <c r="B7" s="81"/>
      <c r="C7" s="81">
        <v>3</v>
      </c>
      <c r="D7" s="394">
        <v>400</v>
      </c>
      <c r="E7" s="395">
        <f>C7*D7</f>
        <v>1200</v>
      </c>
      <c r="F7" s="395">
        <f>C7*D7</f>
        <v>1200</v>
      </c>
      <c r="G7" s="395">
        <f>C7*D7</f>
        <v>1200</v>
      </c>
      <c r="H7" s="395">
        <f t="shared" si="0"/>
        <v>3600</v>
      </c>
    </row>
    <row r="8" spans="1:8" ht="14.5">
      <c r="A8" s="2" t="s">
        <v>122</v>
      </c>
      <c r="B8" s="81"/>
      <c r="C8" s="81">
        <v>3</v>
      </c>
      <c r="D8" s="394">
        <v>400</v>
      </c>
      <c r="E8" s="395">
        <f>C8*D8</f>
        <v>1200</v>
      </c>
      <c r="F8" s="395">
        <f>C8*D8</f>
        <v>1200</v>
      </c>
      <c r="G8" s="395">
        <f>C8*D8</f>
        <v>1200</v>
      </c>
      <c r="H8" s="395">
        <f t="shared" si="0"/>
        <v>3600</v>
      </c>
    </row>
    <row r="9" spans="1:8" ht="14.5">
      <c r="A9" s="121" t="s">
        <v>123</v>
      </c>
      <c r="B9" s="81"/>
      <c r="C9" s="81">
        <v>0</v>
      </c>
      <c r="D9" s="394">
        <v>200</v>
      </c>
      <c r="E9" s="395">
        <v>0</v>
      </c>
      <c r="F9" s="395">
        <f>C9*D9</f>
        <v>0</v>
      </c>
      <c r="G9" s="395">
        <f>C9*D9</f>
        <v>0</v>
      </c>
      <c r="H9" s="395">
        <f t="shared" si="0"/>
        <v>0</v>
      </c>
    </row>
    <row r="10" spans="1:8" ht="14.5">
      <c r="A10" s="2"/>
      <c r="B10" s="2"/>
      <c r="C10" s="2"/>
      <c r="D10" s="119"/>
      <c r="E10" s="396"/>
      <c r="F10" s="396"/>
      <c r="G10" s="396"/>
      <c r="H10" s="396">
        <f t="shared" si="0"/>
        <v>0</v>
      </c>
    </row>
    <row r="11" spans="1:8" ht="14.5">
      <c r="A11" s="34"/>
      <c r="B11" s="2"/>
      <c r="C11" s="2"/>
      <c r="D11" s="119"/>
      <c r="E11" s="397">
        <f>SUM(E5:E9)</f>
        <v>3999</v>
      </c>
      <c r="F11" s="397">
        <f>SUM(F5:F9)</f>
        <v>3999</v>
      </c>
      <c r="G11" s="397">
        <f>SUM(G5:G9)</f>
        <v>3999</v>
      </c>
      <c r="H11" s="395">
        <f>SUM(H5:H10)</f>
        <v>11997</v>
      </c>
    </row>
    <row r="15" spans="1:8" ht="14.5">
      <c r="A15" s="80" t="s">
        <v>143</v>
      </c>
    </row>
    <row r="16" spans="1:8" ht="14.5">
      <c r="A16" s="80" t="s">
        <v>144</v>
      </c>
    </row>
    <row r="17" spans="1:12" ht="14.5">
      <c r="A17" s="80" t="s">
        <v>145</v>
      </c>
    </row>
    <row r="18" spans="1:12" ht="14.5">
      <c r="A18" s="130" t="s">
        <v>146</v>
      </c>
    </row>
    <row r="19" spans="1:12" ht="14.5">
      <c r="A19" s="80" t="s">
        <v>147</v>
      </c>
    </row>
    <row r="20" spans="1:12" ht="14.5">
      <c r="A20" s="80"/>
      <c r="C20" s="283" t="s">
        <v>233</v>
      </c>
      <c r="D20" s="283"/>
      <c r="I20" s="283" t="s">
        <v>234</v>
      </c>
    </row>
    <row r="21" spans="1:12" ht="14.5">
      <c r="A21" s="80" t="s">
        <v>148</v>
      </c>
      <c r="C21" s="283" t="s">
        <v>232</v>
      </c>
      <c r="D21" s="283"/>
      <c r="I21" s="283" t="s">
        <v>235</v>
      </c>
    </row>
    <row r="23" spans="1:12" ht="13">
      <c r="B23" s="131" t="s">
        <v>19</v>
      </c>
      <c r="C23" s="132"/>
      <c r="D23" s="132"/>
      <c r="E23" s="133"/>
      <c r="F23" s="133"/>
      <c r="G23" s="133"/>
      <c r="H23" s="133"/>
      <c r="I23" s="133"/>
      <c r="K23" s="132"/>
      <c r="L23" s="134"/>
    </row>
    <row r="24" spans="1:12" ht="13">
      <c r="B24" s="135" t="s">
        <v>149</v>
      </c>
      <c r="C24" s="419" t="s">
        <v>150</v>
      </c>
      <c r="D24" s="420"/>
      <c r="E24" s="420"/>
      <c r="F24" s="420"/>
      <c r="G24" s="420"/>
      <c r="H24" s="420"/>
      <c r="I24" s="420"/>
      <c r="J24" s="420"/>
      <c r="K24" s="421"/>
    </row>
    <row r="25" spans="1:12" ht="26">
      <c r="B25" s="136" t="s">
        <v>151</v>
      </c>
      <c r="C25" s="137" t="s">
        <v>152</v>
      </c>
      <c r="D25" s="138" t="s">
        <v>153</v>
      </c>
      <c r="E25" s="138" t="s">
        <v>154</v>
      </c>
      <c r="F25" s="139" t="s">
        <v>121</v>
      </c>
      <c r="G25" s="139" t="s">
        <v>120</v>
      </c>
      <c r="H25" s="139" t="s">
        <v>156</v>
      </c>
      <c r="I25" s="140" t="s">
        <v>157</v>
      </c>
      <c r="J25" s="139" t="s">
        <v>155</v>
      </c>
      <c r="K25" s="141" t="s">
        <v>115</v>
      </c>
    </row>
    <row r="26" spans="1:12" ht="13">
      <c r="B26" s="142" t="s">
        <v>158</v>
      </c>
      <c r="C26" s="138">
        <v>3</v>
      </c>
      <c r="D26" s="138">
        <v>1</v>
      </c>
      <c r="E26" s="138">
        <v>3</v>
      </c>
      <c r="F26" s="398">
        <v>400</v>
      </c>
      <c r="G26" s="398">
        <f>63*E26</f>
        <v>189</v>
      </c>
      <c r="H26" s="398">
        <f>172*(E26-1)</f>
        <v>344</v>
      </c>
      <c r="I26" s="399"/>
      <c r="J26" s="398">
        <v>400</v>
      </c>
      <c r="K26" s="399">
        <f>+(F26+J26+G26+H26+I26)*C26</f>
        <v>3999</v>
      </c>
    </row>
    <row r="27" spans="1:12" ht="13">
      <c r="B27" s="142"/>
      <c r="C27" s="144"/>
      <c r="D27" s="144"/>
      <c r="E27" s="145"/>
      <c r="F27" s="145"/>
      <c r="G27" s="145"/>
      <c r="H27" s="145"/>
      <c r="I27" s="144"/>
      <c r="J27" s="145"/>
      <c r="K27" s="144"/>
    </row>
    <row r="28" spans="1:12" ht="13">
      <c r="B28" s="136" t="s">
        <v>159</v>
      </c>
      <c r="C28" s="138"/>
      <c r="D28" s="138"/>
      <c r="E28" s="138"/>
      <c r="F28" s="138"/>
      <c r="G28" s="138"/>
      <c r="H28" s="138"/>
      <c r="I28" s="143"/>
      <c r="J28" s="138"/>
      <c r="K28" s="143"/>
    </row>
    <row r="29" spans="1:12" ht="13">
      <c r="B29" s="142" t="s">
        <v>158</v>
      </c>
      <c r="C29" s="138"/>
      <c r="D29" s="138"/>
      <c r="E29" s="138"/>
      <c r="F29" s="138"/>
      <c r="G29" s="138"/>
      <c r="H29" s="138"/>
      <c r="I29" s="143"/>
      <c r="J29" s="138"/>
      <c r="K29" s="143"/>
    </row>
    <row r="30" spans="1:12" ht="13">
      <c r="B30" s="142"/>
      <c r="C30" s="144"/>
      <c r="D30" s="144"/>
      <c r="E30" s="145"/>
      <c r="F30" s="145"/>
      <c r="G30" s="145"/>
      <c r="H30" s="145"/>
      <c r="I30" s="144"/>
      <c r="J30" s="145"/>
      <c r="K30" s="146"/>
    </row>
    <row r="31" spans="1:12" ht="13">
      <c r="B31" s="142"/>
      <c r="C31" s="144"/>
      <c r="D31" s="144"/>
      <c r="E31" s="145"/>
      <c r="F31" s="145"/>
      <c r="G31" s="145"/>
      <c r="H31" s="145"/>
      <c r="I31" s="144"/>
      <c r="J31" s="145"/>
      <c r="K31" s="146"/>
    </row>
    <row r="32" spans="1:12" ht="13">
      <c r="B32" s="142"/>
      <c r="C32" s="144"/>
      <c r="D32" s="144"/>
      <c r="E32" s="145"/>
      <c r="F32" s="145"/>
      <c r="G32" s="145"/>
      <c r="H32" s="145"/>
      <c r="I32" s="144"/>
      <c r="J32" s="145"/>
      <c r="K32" s="146"/>
    </row>
    <row r="33" spans="2:11" ht="13">
      <c r="B33" s="142"/>
      <c r="C33" s="144"/>
      <c r="D33" s="144"/>
      <c r="E33" s="145"/>
      <c r="F33" s="145"/>
      <c r="G33" s="145"/>
      <c r="H33" s="145"/>
      <c r="I33" s="144"/>
      <c r="J33" s="145"/>
      <c r="K33" s="146"/>
    </row>
    <row r="34" spans="2:11" ht="13">
      <c r="B34" s="142"/>
      <c r="C34" s="144"/>
      <c r="D34" s="144"/>
      <c r="E34" s="145"/>
      <c r="F34" s="145"/>
      <c r="G34" s="145"/>
      <c r="H34" s="145"/>
      <c r="I34" s="144"/>
      <c r="J34" s="145"/>
      <c r="K34" s="146">
        <f>I34*E28*D28</f>
        <v>0</v>
      </c>
    </row>
    <row r="35" spans="2:11" ht="13">
      <c r="B35" s="142" t="s">
        <v>160</v>
      </c>
      <c r="C35" s="147"/>
      <c r="D35" s="147"/>
      <c r="E35" s="148"/>
      <c r="F35" s="148"/>
      <c r="G35" s="148"/>
      <c r="H35" s="148"/>
      <c r="I35" s="147"/>
      <c r="J35" s="148"/>
      <c r="K35" s="149">
        <f>SUM(K26:K34)</f>
        <v>3999</v>
      </c>
    </row>
  </sheetData>
  <mergeCells count="1">
    <mergeCell ref="C24:K2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3B83-A1F6-479B-9A4D-D80A2ADEB952}">
  <dimension ref="A1:J15"/>
  <sheetViews>
    <sheetView workbookViewId="0">
      <selection activeCell="F13" sqref="F13"/>
    </sheetView>
  </sheetViews>
  <sheetFormatPr defaultRowHeight="13"/>
  <cols>
    <col min="1" max="1" width="14.7265625" style="155" customWidth="1"/>
    <col min="2" max="2" width="15.7265625" style="155" customWidth="1"/>
    <col min="3" max="3" width="14.7265625" style="155" customWidth="1"/>
    <col min="4" max="4" width="7.26953125" style="155" customWidth="1"/>
    <col min="5" max="6" width="14.7265625" style="155" customWidth="1"/>
    <col min="7" max="7" width="11.54296875" style="155" customWidth="1"/>
    <col min="8" max="8" width="4.26953125" style="155" customWidth="1"/>
    <col min="9" max="16384" width="8.7265625" style="155"/>
  </cols>
  <sheetData>
    <row r="1" spans="1:10" ht="21" customHeight="1">
      <c r="A1" s="431" t="s">
        <v>167</v>
      </c>
      <c r="B1" s="431"/>
      <c r="C1" s="431"/>
      <c r="D1" s="431"/>
      <c r="E1" s="431"/>
      <c r="F1" s="431"/>
      <c r="G1" s="431"/>
      <c r="H1" s="154"/>
    </row>
    <row r="2" spans="1:10" ht="21" customHeight="1">
      <c r="A2" s="432" t="s">
        <v>168</v>
      </c>
      <c r="B2" s="432"/>
      <c r="C2" s="432"/>
      <c r="D2" s="432"/>
      <c r="E2" s="432"/>
      <c r="F2" s="432"/>
      <c r="G2" s="432"/>
      <c r="H2" s="154"/>
    </row>
    <row r="3" spans="1:10" ht="21" customHeight="1">
      <c r="A3" s="432" t="s">
        <v>169</v>
      </c>
      <c r="B3" s="432"/>
      <c r="C3" s="432"/>
      <c r="D3" s="432"/>
      <c r="E3" s="432"/>
      <c r="F3" s="432"/>
      <c r="G3" s="432"/>
      <c r="H3" s="154"/>
    </row>
    <row r="4" spans="1:10" ht="31.5" customHeight="1">
      <c r="A4" s="156"/>
      <c r="B4" s="156"/>
      <c r="C4" s="156"/>
      <c r="D4" s="156"/>
      <c r="E4" s="156"/>
      <c r="F4" s="156"/>
      <c r="G4" s="156"/>
      <c r="H4" s="156"/>
    </row>
    <row r="5" spans="1:10" ht="16.5" customHeight="1">
      <c r="A5" s="433" t="s">
        <v>170</v>
      </c>
      <c r="B5" s="434"/>
      <c r="C5" s="435"/>
      <c r="D5" s="157"/>
      <c r="E5" s="433" t="s">
        <v>171</v>
      </c>
      <c r="F5" s="434"/>
      <c r="G5" s="434"/>
      <c r="H5" s="435"/>
    </row>
    <row r="6" spans="1:10" ht="16.5" customHeight="1">
      <c r="A6" s="158"/>
      <c r="B6" s="159" t="s">
        <v>172</v>
      </c>
      <c r="C6" s="159" t="s">
        <v>173</v>
      </c>
      <c r="D6" s="157"/>
      <c r="E6" s="158"/>
      <c r="F6" s="159" t="s">
        <v>172</v>
      </c>
      <c r="G6" s="429" t="s">
        <v>173</v>
      </c>
      <c r="H6" s="430"/>
    </row>
    <row r="7" spans="1:10" ht="16.5" customHeight="1">
      <c r="A7" s="160" t="s">
        <v>174</v>
      </c>
      <c r="B7" s="161">
        <v>24229</v>
      </c>
      <c r="C7" s="161">
        <v>12115</v>
      </c>
      <c r="D7" s="157"/>
      <c r="E7" s="160" t="s">
        <v>174</v>
      </c>
      <c r="F7" s="161">
        <v>40382</v>
      </c>
      <c r="G7" s="422">
        <v>20191</v>
      </c>
      <c r="H7" s="423"/>
      <c r="J7" s="155">
        <f>+F7/12</f>
        <v>3365.1666666666665</v>
      </c>
    </row>
    <row r="8" spans="1:10" ht="16.5" customHeight="1">
      <c r="A8" s="160" t="s">
        <v>175</v>
      </c>
      <c r="B8" s="161">
        <v>24752</v>
      </c>
      <c r="C8" s="161">
        <v>12376</v>
      </c>
      <c r="D8" s="424"/>
      <c r="E8" s="160" t="s">
        <v>175</v>
      </c>
      <c r="F8" s="161">
        <v>41253</v>
      </c>
      <c r="G8" s="422">
        <v>20627</v>
      </c>
      <c r="H8" s="423"/>
    </row>
    <row r="9" spans="1:10" ht="16.5" customHeight="1">
      <c r="A9" s="160" t="s">
        <v>176</v>
      </c>
      <c r="B9" s="161">
        <v>25274</v>
      </c>
      <c r="C9" s="161">
        <v>12637</v>
      </c>
      <c r="D9" s="425"/>
      <c r="E9" s="160" t="s">
        <v>176</v>
      </c>
      <c r="F9" s="161">
        <v>42124</v>
      </c>
      <c r="G9" s="422">
        <v>21062</v>
      </c>
      <c r="H9" s="423"/>
    </row>
    <row r="10" spans="1:10" ht="30.5" customHeight="1">
      <c r="A10" s="156"/>
      <c r="B10" s="156"/>
      <c r="C10" s="156"/>
      <c r="D10" s="156"/>
      <c r="E10" s="156"/>
      <c r="F10" s="156"/>
      <c r="G10" s="156"/>
      <c r="H10" s="156"/>
    </row>
    <row r="11" spans="1:10" ht="16.5" customHeight="1">
      <c r="A11" s="426" t="s">
        <v>177</v>
      </c>
      <c r="B11" s="427"/>
      <c r="C11" s="428"/>
      <c r="D11" s="154"/>
      <c r="E11" s="154"/>
      <c r="F11" s="154"/>
      <c r="G11" s="154"/>
      <c r="H11" s="154"/>
    </row>
    <row r="12" spans="1:10" ht="16.5" customHeight="1">
      <c r="A12" s="158"/>
      <c r="B12" s="159" t="s">
        <v>172</v>
      </c>
      <c r="C12" s="159" t="s">
        <v>173</v>
      </c>
      <c r="D12" s="154"/>
      <c r="E12" s="154"/>
      <c r="F12" s="154"/>
      <c r="G12" s="154"/>
      <c r="H12" s="154"/>
    </row>
    <row r="13" spans="1:10" ht="16.5" customHeight="1">
      <c r="A13" s="160" t="s">
        <v>174</v>
      </c>
      <c r="B13" s="161">
        <v>16153</v>
      </c>
      <c r="C13" s="161">
        <v>8077</v>
      </c>
      <c r="D13" s="154"/>
      <c r="E13" s="154">
        <f>+B13/3</f>
        <v>5384.333333333333</v>
      </c>
      <c r="F13" s="154"/>
      <c r="G13" s="154"/>
      <c r="H13" s="154"/>
    </row>
    <row r="14" spans="1:10" ht="16.5" customHeight="1">
      <c r="A14" s="160" t="s">
        <v>175</v>
      </c>
      <c r="B14" s="161">
        <v>16501</v>
      </c>
      <c r="C14" s="161">
        <v>8251</v>
      </c>
      <c r="D14" s="154"/>
      <c r="E14" s="154"/>
      <c r="F14" s="154"/>
      <c r="G14" s="154"/>
      <c r="H14" s="154"/>
    </row>
    <row r="15" spans="1:10" ht="16.5" customHeight="1">
      <c r="A15" s="160" t="s">
        <v>176</v>
      </c>
      <c r="B15" s="161">
        <v>16850</v>
      </c>
      <c r="C15" s="161">
        <v>8425</v>
      </c>
      <c r="D15" s="154"/>
      <c r="E15" s="154"/>
      <c r="F15" s="154"/>
      <c r="G15" s="154"/>
      <c r="H15" s="154"/>
    </row>
  </sheetData>
  <mergeCells count="11">
    <mergeCell ref="G6:H6"/>
    <mergeCell ref="A1:G1"/>
    <mergeCell ref="A2:G2"/>
    <mergeCell ref="A3:G3"/>
    <mergeCell ref="A5:C5"/>
    <mergeCell ref="E5:H5"/>
    <mergeCell ref="G7:H7"/>
    <mergeCell ref="D8:D9"/>
    <mergeCell ref="G8:H8"/>
    <mergeCell ref="G9:H9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A1C0-9FAB-4CBC-9480-0A2C72F514DD}">
  <sheetPr>
    <pageSetUpPr fitToPage="1"/>
  </sheetPr>
  <dimension ref="A1:AM861"/>
  <sheetViews>
    <sheetView workbookViewId="0">
      <pane ySplit="1" topLeftCell="A2" activePane="bottomLeft" state="frozen"/>
      <selection activeCell="D31" sqref="D31"/>
      <selection pane="bottomLeft" activeCell="J6" sqref="J6"/>
    </sheetView>
  </sheetViews>
  <sheetFormatPr defaultColWidth="14.453125" defaultRowHeight="14.5"/>
  <cols>
    <col min="1" max="1" width="25.54296875" style="82" customWidth="1"/>
    <col min="2" max="2" width="16.7265625" style="82" customWidth="1"/>
    <col min="3" max="3" width="15.54296875" style="82" customWidth="1"/>
    <col min="4" max="4" width="15" style="82" customWidth="1"/>
    <col min="5" max="5" width="14.54296875" style="82" customWidth="1"/>
    <col min="6" max="6" width="11.7265625" style="82" customWidth="1"/>
    <col min="7" max="7" width="16.7265625" style="82" customWidth="1"/>
    <col min="8" max="8" width="13.1796875" style="82" customWidth="1"/>
    <col min="9" max="9" width="20.7265625" style="82" customWidth="1"/>
    <col min="10" max="10" width="18.1796875" style="82" customWidth="1"/>
    <col min="11" max="11" width="19.1796875" style="82" bestFit="1" customWidth="1"/>
    <col min="12" max="12" width="10.81640625" style="82" customWidth="1"/>
    <col min="13" max="13" width="15.54296875" style="82" customWidth="1"/>
    <col min="14" max="14" width="9.54296875" style="82" customWidth="1"/>
    <col min="15" max="15" width="14.54296875" style="82" customWidth="1"/>
    <col min="16" max="17" width="8.54296875" style="82" customWidth="1"/>
    <col min="18" max="18" width="9.1796875" style="82" customWidth="1"/>
    <col min="19" max="20" width="8.54296875" style="82" customWidth="1"/>
    <col min="21" max="21" width="9.1796875" style="82" customWidth="1"/>
    <col min="22" max="29" width="8.54296875" style="82" customWidth="1"/>
    <col min="30" max="32" width="9.1796875" style="82" hidden="1" customWidth="1"/>
    <col min="33" max="33" width="14.54296875" style="82" hidden="1" customWidth="1"/>
    <col min="34" max="35" width="14.453125" style="82" hidden="1" customWidth="1"/>
    <col min="36" max="39" width="9.1796875" style="82" hidden="1" customWidth="1"/>
    <col min="40" max="53" width="9.1796875" style="82" customWidth="1"/>
    <col min="54" max="54" width="1" style="82" customWidth="1"/>
    <col min="55" max="55" width="8.54296875" style="82" customWidth="1"/>
    <col min="56" max="16384" width="14.453125" style="82"/>
  </cols>
  <sheetData>
    <row r="1" spans="1:18">
      <c r="A1" s="162" t="s">
        <v>181</v>
      </c>
      <c r="C1" s="182" t="s">
        <v>188</v>
      </c>
      <c r="N1" s="83"/>
      <c r="R1" s="84"/>
    </row>
    <row r="2" spans="1:18" ht="27" customHeight="1">
      <c r="A2" s="151" t="s">
        <v>98</v>
      </c>
      <c r="B2" s="112" t="s">
        <v>99</v>
      </c>
      <c r="C2" s="436" t="s">
        <v>100</v>
      </c>
      <c r="D2" s="436"/>
      <c r="E2" s="112" t="s">
        <v>112</v>
      </c>
      <c r="F2" s="112" t="s">
        <v>180</v>
      </c>
      <c r="G2" s="111" t="s">
        <v>125</v>
      </c>
      <c r="N2" s="83"/>
      <c r="R2" s="84"/>
    </row>
    <row r="3" spans="1:18" ht="63" customHeight="1">
      <c r="A3" s="151">
        <v>2740</v>
      </c>
      <c r="B3" s="151" t="s">
        <v>101</v>
      </c>
      <c r="C3" s="437" t="s">
        <v>102</v>
      </c>
      <c r="D3" s="437"/>
      <c r="E3" s="107">
        <v>0.29699999999999999</v>
      </c>
      <c r="F3" s="107">
        <v>0.29899999999999999</v>
      </c>
      <c r="N3" s="83"/>
      <c r="R3" s="84"/>
    </row>
    <row r="4" spans="1:18" ht="32.5" customHeight="1">
      <c r="A4" s="151">
        <v>2742</v>
      </c>
      <c r="B4" s="151" t="s">
        <v>103</v>
      </c>
      <c r="C4" s="437" t="s">
        <v>104</v>
      </c>
      <c r="D4" s="437"/>
      <c r="E4" s="107">
        <v>0.36</v>
      </c>
      <c r="F4" s="107">
        <v>0.35599999999999998</v>
      </c>
      <c r="N4" s="83"/>
      <c r="R4" s="84"/>
    </row>
    <row r="5" spans="1:18" ht="42.65" customHeight="1">
      <c r="A5" s="151">
        <v>2744</v>
      </c>
      <c r="B5" s="151" t="s">
        <v>105</v>
      </c>
      <c r="C5" s="437" t="s">
        <v>106</v>
      </c>
      <c r="D5" s="437"/>
      <c r="E5" s="107">
        <v>0.27800000000000002</v>
      </c>
      <c r="F5" s="122">
        <v>0.27</v>
      </c>
      <c r="N5" s="83"/>
      <c r="R5" s="84"/>
    </row>
    <row r="6" spans="1:18" ht="48" customHeight="1">
      <c r="A6" s="151">
        <v>2746</v>
      </c>
      <c r="B6" s="151" t="s">
        <v>107</v>
      </c>
      <c r="C6" s="437" t="s">
        <v>108</v>
      </c>
      <c r="D6" s="437"/>
      <c r="E6" s="107">
        <v>7.6999999999999999E-2</v>
      </c>
      <c r="F6" s="107">
        <v>7.5999999999999998E-2</v>
      </c>
      <c r="N6" s="83"/>
      <c r="R6" s="84"/>
    </row>
    <row r="7" spans="1:18">
      <c r="B7" s="85"/>
      <c r="C7" s="85"/>
      <c r="N7" s="83"/>
      <c r="R7" s="84"/>
    </row>
    <row r="8" spans="1:18">
      <c r="A8" s="162" t="s">
        <v>182</v>
      </c>
      <c r="C8" s="150" t="s">
        <v>162</v>
      </c>
      <c r="N8" s="83"/>
      <c r="R8" s="84"/>
    </row>
    <row r="9" spans="1:18" ht="18.5">
      <c r="A9" s="106" t="s">
        <v>94</v>
      </c>
      <c r="B9" s="102" t="s">
        <v>84</v>
      </c>
      <c r="C9"/>
      <c r="E9" s="172" t="s">
        <v>113</v>
      </c>
      <c r="F9" s="173"/>
      <c r="G9" s="173"/>
      <c r="N9" s="83"/>
      <c r="R9" s="84"/>
    </row>
    <row r="10" spans="1:18" ht="29">
      <c r="B10" s="163" t="s">
        <v>85</v>
      </c>
      <c r="C10" s="164" t="s">
        <v>86</v>
      </c>
      <c r="D10" s="165" t="s">
        <v>95</v>
      </c>
      <c r="E10" s="174" t="s">
        <v>85</v>
      </c>
      <c r="F10" s="174" t="s">
        <v>86</v>
      </c>
      <c r="G10" s="176" t="s">
        <v>95</v>
      </c>
      <c r="N10" s="83"/>
      <c r="R10" s="84"/>
    </row>
    <row r="11" spans="1:18">
      <c r="A11" s="103" t="s">
        <v>87</v>
      </c>
      <c r="B11" s="166" t="s">
        <v>88</v>
      </c>
      <c r="C11" s="166">
        <v>10</v>
      </c>
      <c r="D11" s="167"/>
      <c r="E11" s="105" t="s">
        <v>88</v>
      </c>
      <c r="F11" s="105">
        <v>10</v>
      </c>
      <c r="N11" s="83"/>
      <c r="R11" s="84"/>
    </row>
    <row r="12" spans="1:18" ht="15" thickBot="1">
      <c r="A12" s="108" t="s">
        <v>89</v>
      </c>
      <c r="B12" s="168">
        <v>768</v>
      </c>
      <c r="C12" s="168">
        <v>7680</v>
      </c>
      <c r="D12" s="169">
        <f>+C12*2</f>
        <v>15360</v>
      </c>
      <c r="E12" s="175">
        <v>811.9</v>
      </c>
      <c r="F12" s="109">
        <v>8119</v>
      </c>
      <c r="G12" s="110">
        <f>+F12*2</f>
        <v>16238</v>
      </c>
      <c r="N12" s="83"/>
      <c r="R12" s="84"/>
    </row>
    <row r="13" spans="1:18" ht="15" thickTop="1">
      <c r="A13" s="103" t="s">
        <v>90</v>
      </c>
      <c r="B13" s="170">
        <v>1706</v>
      </c>
      <c r="C13" s="170">
        <v>17060</v>
      </c>
      <c r="D13" s="167"/>
      <c r="E13" s="104">
        <v>1769.38</v>
      </c>
      <c r="F13" s="104">
        <v>17693.8</v>
      </c>
      <c r="N13" s="83"/>
      <c r="R13" s="84"/>
    </row>
    <row r="14" spans="1:18">
      <c r="A14" s="103" t="s">
        <v>91</v>
      </c>
      <c r="B14" s="171">
        <v>417.5</v>
      </c>
      <c r="C14" s="171">
        <v>817.5</v>
      </c>
      <c r="D14" s="167"/>
      <c r="E14" s="104">
        <v>314</v>
      </c>
      <c r="F14" s="104">
        <v>606.5</v>
      </c>
      <c r="N14" s="83"/>
      <c r="R14" s="84"/>
    </row>
    <row r="15" spans="1:18">
      <c r="A15" s="103" t="s">
        <v>92</v>
      </c>
      <c r="B15" s="171">
        <v>1185.5</v>
      </c>
      <c r="C15" s="171">
        <v>8497.5</v>
      </c>
      <c r="D15" s="167"/>
      <c r="E15" s="104">
        <v>1125.9000000000001</v>
      </c>
      <c r="F15" s="104">
        <v>8725.5</v>
      </c>
      <c r="N15" s="83"/>
      <c r="R15" s="84"/>
    </row>
    <row r="16" spans="1:18">
      <c r="A16" s="103" t="s">
        <v>93</v>
      </c>
      <c r="B16" s="171">
        <v>2123.5</v>
      </c>
      <c r="C16" s="171">
        <v>17877.5</v>
      </c>
      <c r="D16" s="167"/>
      <c r="E16" s="104">
        <v>2083.38</v>
      </c>
      <c r="F16" s="104">
        <v>18300.3</v>
      </c>
      <c r="N16" s="83"/>
      <c r="R16" s="84"/>
    </row>
    <row r="17" spans="1:18" ht="15" thickBot="1">
      <c r="B17" s="180" t="s">
        <v>186</v>
      </c>
      <c r="C17" s="173"/>
      <c r="D17" s="181" t="s">
        <v>161</v>
      </c>
      <c r="E17" s="180"/>
      <c r="F17" s="173"/>
      <c r="G17" s="173"/>
      <c r="N17" s="83"/>
      <c r="R17" s="84"/>
    </row>
    <row r="18" spans="1:18" ht="15" thickBot="1">
      <c r="A18" s="113"/>
      <c r="B18" s="179" t="s">
        <v>187</v>
      </c>
      <c r="F18" s="104">
        <v>1323.84</v>
      </c>
      <c r="G18" s="110">
        <f>+F18*2</f>
        <v>2647.68</v>
      </c>
      <c r="N18" s="83"/>
      <c r="R18" s="84"/>
    </row>
    <row r="19" spans="1:18" ht="15" thickTop="1">
      <c r="A19" s="80" t="s">
        <v>76</v>
      </c>
      <c r="B19" s="400"/>
      <c r="F19" s="104"/>
      <c r="G19" s="401"/>
      <c r="N19" s="83"/>
      <c r="R19" s="84"/>
    </row>
    <row r="20" spans="1:18">
      <c r="A20" s="80" t="s">
        <v>77</v>
      </c>
      <c r="E20" s="104"/>
      <c r="N20" s="83"/>
      <c r="R20" s="84"/>
    </row>
    <row r="21" spans="1:18">
      <c r="A21" s="80"/>
      <c r="E21" s="104"/>
      <c r="N21" s="83"/>
      <c r="R21" s="84"/>
    </row>
    <row r="22" spans="1:18">
      <c r="A22" s="162" t="s">
        <v>183</v>
      </c>
      <c r="B22" s="150" t="s">
        <v>189</v>
      </c>
      <c r="D22" s="104"/>
      <c r="N22" s="83"/>
      <c r="R22" s="84"/>
    </row>
    <row r="23" spans="1:18">
      <c r="A23" s="183"/>
      <c r="B23" s="177" t="s">
        <v>112</v>
      </c>
      <c r="C23" s="177" t="s">
        <v>184</v>
      </c>
      <c r="D23" s="177" t="s">
        <v>185</v>
      </c>
      <c r="N23" s="83"/>
      <c r="R23" s="84"/>
    </row>
    <row r="24" spans="1:18">
      <c r="A24" s="152" t="s">
        <v>124</v>
      </c>
      <c r="B24" s="178">
        <v>0.54500000000000004</v>
      </c>
      <c r="C24" s="292">
        <v>0.55000000000000004</v>
      </c>
      <c r="D24" s="292">
        <v>0.56000000000000005</v>
      </c>
      <c r="N24" s="83"/>
      <c r="R24" s="84"/>
    </row>
    <row r="25" spans="1:18">
      <c r="A25" s="152" t="s">
        <v>126</v>
      </c>
      <c r="B25" s="178">
        <v>0.56999999999999995</v>
      </c>
      <c r="C25" s="292">
        <v>0.57499999999999996</v>
      </c>
      <c r="D25" s="292">
        <v>0.58499999999999996</v>
      </c>
      <c r="N25" s="83"/>
      <c r="R25" s="84"/>
    </row>
    <row r="26" spans="1:18">
      <c r="A26" s="310" t="s">
        <v>292</v>
      </c>
      <c r="B26" s="310" t="s">
        <v>183</v>
      </c>
      <c r="N26" s="83"/>
      <c r="R26" s="84"/>
    </row>
    <row r="27" spans="1:18">
      <c r="A27" s="311" t="s">
        <v>293</v>
      </c>
      <c r="B27" s="312">
        <v>0.55000000000000004</v>
      </c>
      <c r="D27" s="86"/>
      <c r="N27" s="83"/>
      <c r="R27" s="84"/>
    </row>
    <row r="28" spans="1:18">
      <c r="A28" s="311" t="s">
        <v>294</v>
      </c>
      <c r="B28" s="312">
        <v>0.56000000000000005</v>
      </c>
      <c r="D28" s="86"/>
      <c r="N28" s="83"/>
      <c r="R28" s="84"/>
    </row>
    <row r="29" spans="1:18">
      <c r="A29" s="311" t="s">
        <v>295</v>
      </c>
      <c r="B29" s="313">
        <v>0.57499999999999996</v>
      </c>
      <c r="D29" s="86"/>
      <c r="N29" s="83"/>
      <c r="R29" s="84"/>
    </row>
    <row r="30" spans="1:18">
      <c r="A30" s="311" t="s">
        <v>296</v>
      </c>
      <c r="B30" s="313">
        <v>0.58499999999999996</v>
      </c>
      <c r="D30" s="86"/>
      <c r="N30" s="83"/>
      <c r="R30" s="84"/>
    </row>
    <row r="31" spans="1:18">
      <c r="A31" s="311" t="s">
        <v>297</v>
      </c>
      <c r="B31" s="312">
        <v>0.26</v>
      </c>
      <c r="D31" s="86"/>
      <c r="N31" s="83"/>
      <c r="R31" s="84"/>
    </row>
    <row r="32" spans="1:18">
      <c r="A32" s="311" t="s">
        <v>298</v>
      </c>
      <c r="B32" s="313">
        <v>0.27500000000000002</v>
      </c>
      <c r="D32" s="86"/>
      <c r="N32" s="83"/>
      <c r="R32" s="84"/>
    </row>
    <row r="33" spans="1:18">
      <c r="A33" s="311" t="s">
        <v>299</v>
      </c>
      <c r="B33" s="312">
        <v>0.11</v>
      </c>
      <c r="D33" s="86"/>
      <c r="N33" s="83"/>
      <c r="R33" s="84"/>
    </row>
    <row r="34" spans="1:18">
      <c r="A34" s="311" t="s">
        <v>300</v>
      </c>
      <c r="B34" s="312">
        <v>0.3</v>
      </c>
      <c r="D34" s="86"/>
      <c r="N34" s="83"/>
      <c r="R34" s="84"/>
    </row>
    <row r="35" spans="1:18">
      <c r="A35" s="311" t="s">
        <v>301</v>
      </c>
      <c r="B35" s="313">
        <v>0.315</v>
      </c>
      <c r="D35" s="86"/>
      <c r="N35" s="83"/>
      <c r="R35" s="84"/>
    </row>
    <row r="36" spans="1:18">
      <c r="A36" s="85"/>
      <c r="B36" s="85"/>
      <c r="D36" s="86"/>
      <c r="N36" s="83"/>
      <c r="R36" s="84"/>
    </row>
    <row r="37" spans="1:18">
      <c r="B37" s="85"/>
      <c r="C37" s="85"/>
      <c r="E37" s="86"/>
      <c r="N37" s="83"/>
      <c r="R37" s="84"/>
    </row>
    <row r="38" spans="1:18">
      <c r="B38" s="85"/>
      <c r="C38" s="85"/>
      <c r="E38" s="86"/>
      <c r="N38" s="83"/>
      <c r="R38" s="84"/>
    </row>
    <row r="39" spans="1:18">
      <c r="B39" s="85"/>
      <c r="C39" s="85"/>
      <c r="E39" s="86"/>
      <c r="N39" s="83"/>
      <c r="R39" s="84"/>
    </row>
    <row r="40" spans="1:18">
      <c r="B40" s="85"/>
      <c r="C40" s="85"/>
      <c r="E40" s="86"/>
      <c r="N40" s="83"/>
      <c r="R40" s="84"/>
    </row>
    <row r="41" spans="1:18">
      <c r="B41" s="85"/>
      <c r="C41" s="85"/>
      <c r="E41" s="86"/>
      <c r="N41" s="83"/>
      <c r="R41" s="84"/>
    </row>
    <row r="42" spans="1:18">
      <c r="B42" s="85"/>
      <c r="C42" s="85"/>
      <c r="E42" s="86"/>
      <c r="N42" s="83"/>
      <c r="R42" s="84"/>
    </row>
    <row r="43" spans="1:18">
      <c r="B43" s="85"/>
      <c r="C43" s="85"/>
      <c r="E43" s="86"/>
      <c r="N43" s="83"/>
      <c r="R43" s="84"/>
    </row>
    <row r="44" spans="1:18">
      <c r="B44" s="85"/>
      <c r="C44" s="85"/>
      <c r="E44" s="86"/>
      <c r="N44" s="83"/>
      <c r="R44" s="84"/>
    </row>
    <row r="45" spans="1:18">
      <c r="B45" s="85"/>
      <c r="C45" s="85"/>
      <c r="E45" s="86"/>
      <c r="N45" s="83"/>
      <c r="R45" s="84"/>
    </row>
    <row r="46" spans="1:18">
      <c r="B46" s="85"/>
      <c r="C46" s="85"/>
      <c r="E46" s="86"/>
      <c r="N46" s="83"/>
      <c r="R46" s="84"/>
    </row>
    <row r="47" spans="1:18">
      <c r="B47" s="85"/>
      <c r="C47" s="85"/>
      <c r="E47" s="86"/>
      <c r="N47" s="83"/>
      <c r="R47" s="84"/>
    </row>
    <row r="48" spans="1:18">
      <c r="B48" s="85"/>
      <c r="C48" s="85"/>
      <c r="E48" s="86"/>
      <c r="N48" s="83"/>
      <c r="R48" s="84"/>
    </row>
    <row r="49" spans="2:18">
      <c r="B49" s="85"/>
      <c r="C49" s="85"/>
      <c r="E49" s="86"/>
      <c r="N49" s="83"/>
      <c r="R49" s="84"/>
    </row>
    <row r="50" spans="2:18">
      <c r="B50" s="85"/>
      <c r="C50" s="85"/>
      <c r="E50" s="86"/>
      <c r="N50" s="83"/>
      <c r="R50" s="84"/>
    </row>
    <row r="51" spans="2:18">
      <c r="B51" s="85"/>
      <c r="C51" s="85"/>
      <c r="E51" s="86"/>
      <c r="N51" s="83"/>
      <c r="R51" s="84"/>
    </row>
    <row r="52" spans="2:18">
      <c r="B52" s="85"/>
      <c r="C52" s="85"/>
      <c r="E52" s="86"/>
      <c r="N52" s="83"/>
      <c r="R52" s="84"/>
    </row>
    <row r="53" spans="2:18">
      <c r="B53" s="85"/>
      <c r="C53" s="85"/>
      <c r="E53" s="86"/>
      <c r="N53" s="83"/>
      <c r="R53" s="84"/>
    </row>
    <row r="54" spans="2:18">
      <c r="B54" s="85"/>
      <c r="C54" s="85"/>
      <c r="E54" s="86"/>
      <c r="N54" s="83"/>
      <c r="R54" s="84"/>
    </row>
    <row r="55" spans="2:18">
      <c r="B55" s="85"/>
      <c r="C55" s="85"/>
      <c r="E55" s="86"/>
      <c r="N55" s="83"/>
      <c r="R55" s="84"/>
    </row>
    <row r="56" spans="2:18">
      <c r="B56" s="85"/>
      <c r="C56" s="85"/>
      <c r="E56" s="86"/>
      <c r="N56" s="83"/>
      <c r="R56" s="84"/>
    </row>
    <row r="57" spans="2:18">
      <c r="B57" s="85"/>
      <c r="C57" s="85"/>
      <c r="E57" s="86"/>
      <c r="N57" s="83"/>
      <c r="R57" s="84"/>
    </row>
    <row r="58" spans="2:18">
      <c r="B58" s="85"/>
      <c r="C58" s="85"/>
      <c r="E58" s="86"/>
      <c r="N58" s="83"/>
      <c r="R58" s="84"/>
    </row>
    <row r="59" spans="2:18">
      <c r="B59" s="85"/>
      <c r="C59" s="85"/>
      <c r="E59" s="86"/>
      <c r="N59" s="83"/>
      <c r="R59" s="84"/>
    </row>
    <row r="60" spans="2:18">
      <c r="B60" s="85"/>
      <c r="C60" s="85"/>
      <c r="E60" s="86"/>
      <c r="N60" s="83"/>
      <c r="R60" s="84"/>
    </row>
    <row r="61" spans="2:18">
      <c r="B61" s="85"/>
      <c r="C61" s="85"/>
      <c r="E61" s="86"/>
      <c r="N61" s="83"/>
      <c r="R61" s="84"/>
    </row>
    <row r="62" spans="2:18">
      <c r="B62" s="85"/>
      <c r="C62" s="85"/>
      <c r="E62" s="86"/>
      <c r="N62" s="83"/>
      <c r="R62" s="84"/>
    </row>
    <row r="63" spans="2:18">
      <c r="B63" s="85"/>
      <c r="C63" s="85"/>
      <c r="E63" s="86"/>
      <c r="N63" s="83"/>
      <c r="R63" s="84"/>
    </row>
    <row r="64" spans="2:18">
      <c r="B64" s="85"/>
      <c r="C64" s="85"/>
      <c r="E64" s="86"/>
      <c r="N64" s="83"/>
      <c r="R64" s="84"/>
    </row>
    <row r="65" spans="2:18">
      <c r="B65" s="85"/>
      <c r="C65" s="85"/>
      <c r="E65" s="86"/>
      <c r="N65" s="83"/>
      <c r="R65" s="84"/>
    </row>
    <row r="66" spans="2:18">
      <c r="B66" s="85"/>
      <c r="C66" s="85"/>
      <c r="E66" s="86"/>
      <c r="N66" s="83"/>
      <c r="R66" s="84"/>
    </row>
    <row r="67" spans="2:18">
      <c r="B67" s="85"/>
      <c r="C67" s="85"/>
      <c r="E67" s="86"/>
      <c r="N67" s="83"/>
      <c r="R67" s="84"/>
    </row>
    <row r="68" spans="2:18">
      <c r="B68" s="85"/>
      <c r="C68" s="85"/>
      <c r="E68" s="86"/>
      <c r="N68" s="83"/>
      <c r="R68" s="84"/>
    </row>
    <row r="69" spans="2:18">
      <c r="B69" s="85"/>
      <c r="C69" s="85"/>
      <c r="E69" s="86"/>
      <c r="N69" s="83"/>
      <c r="R69" s="84"/>
    </row>
    <row r="70" spans="2:18">
      <c r="B70" s="85"/>
      <c r="C70" s="85"/>
      <c r="E70" s="86"/>
      <c r="N70" s="83"/>
      <c r="R70" s="84"/>
    </row>
    <row r="71" spans="2:18">
      <c r="B71" s="85"/>
      <c r="C71" s="85"/>
      <c r="E71" s="86"/>
      <c r="N71" s="83"/>
      <c r="R71" s="84"/>
    </row>
    <row r="72" spans="2:18">
      <c r="B72" s="85"/>
      <c r="C72" s="85"/>
      <c r="E72" s="86"/>
      <c r="N72" s="83"/>
      <c r="R72" s="84"/>
    </row>
    <row r="73" spans="2:18">
      <c r="B73" s="85"/>
      <c r="C73" s="85"/>
      <c r="E73" s="86"/>
      <c r="N73" s="83"/>
      <c r="R73" s="84"/>
    </row>
    <row r="74" spans="2:18">
      <c r="B74" s="85"/>
      <c r="C74" s="85"/>
      <c r="E74" s="86"/>
      <c r="N74" s="83"/>
      <c r="R74" s="84"/>
    </row>
    <row r="75" spans="2:18">
      <c r="B75" s="85"/>
      <c r="C75" s="85"/>
      <c r="E75" s="86"/>
      <c r="N75" s="83"/>
      <c r="R75" s="84"/>
    </row>
    <row r="76" spans="2:18">
      <c r="B76" s="85"/>
      <c r="C76" s="85"/>
      <c r="E76" s="86"/>
      <c r="N76" s="83"/>
      <c r="R76" s="84"/>
    </row>
    <row r="77" spans="2:18">
      <c r="B77" s="85"/>
      <c r="C77" s="85"/>
      <c r="E77" s="86"/>
      <c r="N77" s="83"/>
      <c r="R77" s="84"/>
    </row>
    <row r="78" spans="2:18">
      <c r="B78" s="85"/>
      <c r="C78" s="85"/>
      <c r="E78" s="86"/>
      <c r="N78" s="83"/>
      <c r="R78" s="84"/>
    </row>
    <row r="79" spans="2:18">
      <c r="B79" s="85"/>
      <c r="C79" s="85"/>
      <c r="E79" s="86"/>
      <c r="N79" s="83"/>
      <c r="R79" s="84"/>
    </row>
    <row r="80" spans="2:18">
      <c r="B80" s="85"/>
      <c r="C80" s="85"/>
      <c r="E80" s="86"/>
      <c r="N80" s="83"/>
      <c r="R80" s="84"/>
    </row>
    <row r="81" spans="2:18">
      <c r="B81" s="85"/>
      <c r="C81" s="85"/>
      <c r="E81" s="86"/>
      <c r="N81" s="83"/>
      <c r="R81" s="84"/>
    </row>
    <row r="82" spans="2:18">
      <c r="B82" s="85"/>
      <c r="C82" s="85"/>
      <c r="E82" s="86"/>
      <c r="N82" s="83"/>
      <c r="R82" s="84"/>
    </row>
    <row r="83" spans="2:18">
      <c r="B83" s="85"/>
      <c r="C83" s="85"/>
      <c r="E83" s="86"/>
      <c r="N83" s="83"/>
      <c r="R83" s="84"/>
    </row>
    <row r="84" spans="2:18">
      <c r="B84" s="85"/>
      <c r="C84" s="85"/>
      <c r="E84" s="86"/>
      <c r="N84" s="83"/>
      <c r="R84" s="84"/>
    </row>
    <row r="85" spans="2:18">
      <c r="B85" s="85"/>
      <c r="C85" s="85"/>
      <c r="E85" s="86"/>
      <c r="N85" s="83"/>
      <c r="R85" s="84"/>
    </row>
    <row r="86" spans="2:18">
      <c r="B86" s="85"/>
      <c r="C86" s="85"/>
      <c r="E86" s="86"/>
      <c r="N86" s="83"/>
      <c r="R86" s="84"/>
    </row>
    <row r="87" spans="2:18">
      <c r="B87" s="85"/>
      <c r="C87" s="85"/>
      <c r="E87" s="86"/>
      <c r="N87" s="83"/>
      <c r="R87" s="84"/>
    </row>
    <row r="88" spans="2:18">
      <c r="B88" s="85"/>
      <c r="C88" s="85"/>
      <c r="E88" s="86"/>
      <c r="N88" s="83"/>
      <c r="R88" s="84"/>
    </row>
    <row r="89" spans="2:18">
      <c r="B89" s="85"/>
      <c r="C89" s="85"/>
      <c r="E89" s="86"/>
      <c r="N89" s="83"/>
      <c r="R89" s="84"/>
    </row>
    <row r="90" spans="2:18">
      <c r="B90" s="85"/>
      <c r="C90" s="85"/>
      <c r="E90" s="86"/>
      <c r="N90" s="83"/>
      <c r="R90" s="84"/>
    </row>
    <row r="91" spans="2:18">
      <c r="B91" s="85"/>
      <c r="C91" s="85"/>
      <c r="E91" s="86"/>
      <c r="N91" s="83"/>
      <c r="R91" s="84"/>
    </row>
    <row r="92" spans="2:18">
      <c r="B92" s="85"/>
      <c r="C92" s="85"/>
      <c r="E92" s="86"/>
      <c r="N92" s="83"/>
      <c r="R92" s="84"/>
    </row>
    <row r="93" spans="2:18">
      <c r="B93" s="85"/>
      <c r="C93" s="85"/>
      <c r="E93" s="86"/>
      <c r="N93" s="83"/>
      <c r="R93" s="84"/>
    </row>
    <row r="94" spans="2:18">
      <c r="B94" s="85"/>
      <c r="C94" s="85"/>
      <c r="E94" s="86"/>
      <c r="N94" s="83"/>
      <c r="R94" s="84"/>
    </row>
    <row r="95" spans="2:18">
      <c r="B95" s="85"/>
      <c r="C95" s="85"/>
      <c r="E95" s="86"/>
      <c r="N95" s="83"/>
      <c r="R95" s="84"/>
    </row>
    <row r="96" spans="2:18">
      <c r="B96" s="85"/>
      <c r="C96" s="85"/>
      <c r="E96" s="86"/>
      <c r="N96" s="83"/>
      <c r="R96" s="84"/>
    </row>
    <row r="97" spans="2:18">
      <c r="B97" s="85"/>
      <c r="C97" s="85"/>
      <c r="E97" s="86"/>
      <c r="N97" s="83"/>
      <c r="R97" s="84"/>
    </row>
    <row r="98" spans="2:18">
      <c r="B98" s="85"/>
      <c r="C98" s="85"/>
      <c r="E98" s="86"/>
      <c r="N98" s="83"/>
      <c r="R98" s="84"/>
    </row>
    <row r="99" spans="2:18">
      <c r="B99" s="85"/>
      <c r="C99" s="85"/>
      <c r="E99" s="86"/>
      <c r="N99" s="83"/>
      <c r="R99" s="84"/>
    </row>
    <row r="100" spans="2:18">
      <c r="B100" s="85"/>
      <c r="C100" s="85"/>
      <c r="E100" s="86"/>
      <c r="N100" s="83"/>
      <c r="R100" s="84"/>
    </row>
    <row r="101" spans="2:18">
      <c r="B101" s="85"/>
      <c r="C101" s="85"/>
      <c r="E101" s="86"/>
      <c r="N101" s="83"/>
      <c r="R101" s="84"/>
    </row>
    <row r="102" spans="2:18">
      <c r="B102" s="85"/>
      <c r="C102" s="85"/>
      <c r="E102" s="86"/>
      <c r="N102" s="83"/>
      <c r="R102" s="84"/>
    </row>
    <row r="103" spans="2:18">
      <c r="B103" s="85"/>
      <c r="C103" s="85"/>
      <c r="E103" s="86"/>
      <c r="N103" s="83"/>
      <c r="R103" s="84"/>
    </row>
    <row r="104" spans="2:18">
      <c r="B104" s="85"/>
      <c r="C104" s="85"/>
      <c r="E104" s="86"/>
      <c r="N104" s="83"/>
      <c r="R104" s="84"/>
    </row>
    <row r="105" spans="2:18">
      <c r="B105" s="85"/>
      <c r="C105" s="85"/>
      <c r="E105" s="86"/>
      <c r="N105" s="83"/>
      <c r="R105" s="84"/>
    </row>
    <row r="106" spans="2:18">
      <c r="B106" s="85"/>
      <c r="C106" s="85"/>
      <c r="E106" s="86"/>
      <c r="N106" s="83"/>
      <c r="R106" s="84"/>
    </row>
    <row r="107" spans="2:18">
      <c r="B107" s="85"/>
      <c r="C107" s="85"/>
      <c r="E107" s="86"/>
      <c r="N107" s="83"/>
      <c r="R107" s="84"/>
    </row>
    <row r="108" spans="2:18">
      <c r="B108" s="85"/>
      <c r="C108" s="85"/>
      <c r="E108" s="86"/>
      <c r="N108" s="83"/>
      <c r="R108" s="84"/>
    </row>
    <row r="109" spans="2:18">
      <c r="B109" s="85"/>
      <c r="C109" s="85"/>
      <c r="E109" s="86"/>
      <c r="N109" s="83"/>
      <c r="R109" s="84"/>
    </row>
    <row r="110" spans="2:18">
      <c r="B110" s="85"/>
      <c r="C110" s="85"/>
      <c r="E110" s="86"/>
      <c r="N110" s="83"/>
      <c r="R110" s="84"/>
    </row>
    <row r="111" spans="2:18">
      <c r="B111" s="85"/>
      <c r="C111" s="85"/>
      <c r="E111" s="86"/>
      <c r="N111" s="83"/>
      <c r="R111" s="84"/>
    </row>
    <row r="112" spans="2:18">
      <c r="B112" s="85"/>
      <c r="C112" s="85"/>
      <c r="E112" s="86"/>
      <c r="N112" s="83"/>
      <c r="R112" s="84"/>
    </row>
    <row r="113" spans="2:18">
      <c r="B113" s="85"/>
      <c r="C113" s="85"/>
      <c r="E113" s="86"/>
      <c r="N113" s="83"/>
      <c r="R113" s="84"/>
    </row>
    <row r="114" spans="2:18">
      <c r="B114" s="85"/>
      <c r="C114" s="85"/>
      <c r="E114" s="86"/>
      <c r="N114" s="83"/>
      <c r="R114" s="84"/>
    </row>
    <row r="115" spans="2:18">
      <c r="B115" s="85"/>
      <c r="C115" s="85"/>
      <c r="E115" s="86"/>
      <c r="N115" s="83"/>
      <c r="R115" s="84"/>
    </row>
    <row r="116" spans="2:18">
      <c r="B116" s="85"/>
      <c r="C116" s="85"/>
      <c r="E116" s="86"/>
      <c r="N116" s="83"/>
      <c r="R116" s="84"/>
    </row>
    <row r="117" spans="2:18">
      <c r="B117" s="85"/>
      <c r="C117" s="85"/>
      <c r="E117" s="86"/>
      <c r="N117" s="83"/>
      <c r="R117" s="84"/>
    </row>
    <row r="118" spans="2:18">
      <c r="B118" s="85"/>
      <c r="C118" s="85"/>
      <c r="E118" s="86"/>
      <c r="N118" s="83"/>
      <c r="R118" s="84"/>
    </row>
    <row r="119" spans="2:18">
      <c r="B119" s="85"/>
      <c r="C119" s="85"/>
      <c r="E119" s="86"/>
      <c r="N119" s="83"/>
      <c r="R119" s="84"/>
    </row>
    <row r="120" spans="2:18">
      <c r="B120" s="85"/>
      <c r="C120" s="85"/>
      <c r="E120" s="86"/>
      <c r="N120" s="83"/>
      <c r="R120" s="84"/>
    </row>
    <row r="121" spans="2:18">
      <c r="B121" s="85"/>
      <c r="C121" s="85"/>
      <c r="E121" s="86"/>
      <c r="N121" s="83"/>
      <c r="R121" s="84"/>
    </row>
    <row r="122" spans="2:18">
      <c r="B122" s="85"/>
      <c r="C122" s="85"/>
      <c r="E122" s="86"/>
      <c r="N122" s="83"/>
      <c r="R122" s="84"/>
    </row>
    <row r="123" spans="2:18">
      <c r="B123" s="85"/>
      <c r="C123" s="85"/>
      <c r="E123" s="86"/>
      <c r="N123" s="83"/>
      <c r="R123" s="84"/>
    </row>
    <row r="124" spans="2:18">
      <c r="B124" s="85"/>
      <c r="C124" s="85"/>
      <c r="E124" s="86"/>
      <c r="N124" s="83"/>
      <c r="R124" s="84"/>
    </row>
    <row r="125" spans="2:18">
      <c r="B125" s="85"/>
      <c r="C125" s="85"/>
      <c r="E125" s="86"/>
      <c r="N125" s="83"/>
      <c r="R125" s="84"/>
    </row>
    <row r="126" spans="2:18">
      <c r="B126" s="85"/>
      <c r="C126" s="85"/>
      <c r="E126" s="86"/>
      <c r="N126" s="83"/>
      <c r="R126" s="84"/>
    </row>
    <row r="127" spans="2:18">
      <c r="B127" s="85"/>
      <c r="C127" s="85"/>
      <c r="E127" s="86"/>
      <c r="N127" s="83"/>
      <c r="R127" s="84"/>
    </row>
    <row r="128" spans="2:18">
      <c r="B128" s="85"/>
      <c r="C128" s="85"/>
      <c r="E128" s="86"/>
      <c r="N128" s="83"/>
      <c r="R128" s="84"/>
    </row>
    <row r="129" spans="2:18">
      <c r="B129" s="85"/>
      <c r="C129" s="85"/>
      <c r="E129" s="86"/>
      <c r="N129" s="83"/>
      <c r="R129" s="84"/>
    </row>
    <row r="130" spans="2:18">
      <c r="B130" s="85"/>
      <c r="C130" s="85"/>
      <c r="E130" s="86"/>
      <c r="N130" s="83"/>
      <c r="R130" s="84"/>
    </row>
    <row r="131" spans="2:18">
      <c r="B131" s="85"/>
      <c r="C131" s="85"/>
      <c r="E131" s="86"/>
      <c r="N131" s="83"/>
      <c r="R131" s="84"/>
    </row>
    <row r="132" spans="2:18">
      <c r="B132" s="85"/>
      <c r="C132" s="85"/>
      <c r="E132" s="86"/>
      <c r="N132" s="83"/>
      <c r="R132" s="84"/>
    </row>
    <row r="133" spans="2:18">
      <c r="B133" s="85"/>
      <c r="C133" s="85"/>
      <c r="E133" s="86"/>
      <c r="N133" s="83"/>
      <c r="R133" s="84"/>
    </row>
    <row r="134" spans="2:18">
      <c r="B134" s="85"/>
      <c r="C134" s="85"/>
      <c r="E134" s="86"/>
      <c r="N134" s="83"/>
      <c r="R134" s="84"/>
    </row>
    <row r="135" spans="2:18">
      <c r="B135" s="85"/>
      <c r="C135" s="85"/>
      <c r="E135" s="86"/>
      <c r="N135" s="83"/>
      <c r="R135" s="84"/>
    </row>
    <row r="136" spans="2:18">
      <c r="B136" s="85"/>
      <c r="C136" s="85"/>
      <c r="E136" s="86"/>
      <c r="N136" s="83"/>
      <c r="R136" s="84"/>
    </row>
    <row r="137" spans="2:18">
      <c r="B137" s="85"/>
      <c r="C137" s="85"/>
      <c r="E137" s="86"/>
      <c r="N137" s="83"/>
      <c r="R137" s="84"/>
    </row>
    <row r="138" spans="2:18">
      <c r="B138" s="85"/>
      <c r="C138" s="85"/>
      <c r="E138" s="86"/>
      <c r="N138" s="83"/>
      <c r="R138" s="84"/>
    </row>
    <row r="139" spans="2:18">
      <c r="B139" s="85"/>
      <c r="C139" s="85"/>
      <c r="E139" s="86"/>
      <c r="N139" s="83"/>
      <c r="R139" s="84"/>
    </row>
    <row r="140" spans="2:18">
      <c r="B140" s="85"/>
      <c r="C140" s="85"/>
      <c r="E140" s="86"/>
      <c r="N140" s="83"/>
      <c r="R140" s="84"/>
    </row>
    <row r="141" spans="2:18">
      <c r="B141" s="85"/>
      <c r="C141" s="85"/>
      <c r="E141" s="86"/>
      <c r="N141" s="83"/>
      <c r="R141" s="84"/>
    </row>
    <row r="142" spans="2:18">
      <c r="B142" s="85"/>
      <c r="C142" s="85"/>
      <c r="E142" s="86"/>
      <c r="N142" s="83"/>
      <c r="R142" s="84"/>
    </row>
    <row r="143" spans="2:18">
      <c r="B143" s="85"/>
      <c r="C143" s="85"/>
      <c r="E143" s="86"/>
      <c r="N143" s="83"/>
      <c r="R143" s="84"/>
    </row>
    <row r="144" spans="2:18">
      <c r="B144" s="85"/>
      <c r="C144" s="85"/>
      <c r="E144" s="86"/>
      <c r="N144" s="83"/>
      <c r="R144" s="84"/>
    </row>
    <row r="145" spans="2:18">
      <c r="B145" s="85"/>
      <c r="C145" s="85"/>
      <c r="E145" s="86"/>
      <c r="N145" s="83"/>
      <c r="R145" s="84"/>
    </row>
    <row r="146" spans="2:18">
      <c r="B146" s="85"/>
      <c r="C146" s="85"/>
      <c r="E146" s="86"/>
      <c r="N146" s="83"/>
      <c r="R146" s="84"/>
    </row>
    <row r="147" spans="2:18">
      <c r="B147" s="85"/>
      <c r="C147" s="85"/>
      <c r="E147" s="86"/>
      <c r="N147" s="83"/>
      <c r="R147" s="84"/>
    </row>
    <row r="148" spans="2:18">
      <c r="B148" s="85"/>
      <c r="C148" s="85"/>
      <c r="E148" s="86"/>
      <c r="N148" s="83"/>
      <c r="R148" s="84"/>
    </row>
    <row r="149" spans="2:18">
      <c r="B149" s="85"/>
      <c r="C149" s="85"/>
      <c r="E149" s="86"/>
      <c r="N149" s="83"/>
      <c r="R149" s="84"/>
    </row>
    <row r="150" spans="2:18">
      <c r="B150" s="85"/>
      <c r="C150" s="85"/>
      <c r="E150" s="86"/>
      <c r="N150" s="83"/>
      <c r="R150" s="84"/>
    </row>
    <row r="151" spans="2:18">
      <c r="B151" s="85"/>
      <c r="C151" s="85"/>
      <c r="E151" s="86"/>
      <c r="N151" s="83"/>
      <c r="R151" s="84"/>
    </row>
    <row r="152" spans="2:18">
      <c r="B152" s="85"/>
      <c r="C152" s="85"/>
      <c r="E152" s="86"/>
      <c r="N152" s="83"/>
      <c r="R152" s="84"/>
    </row>
    <row r="153" spans="2:18">
      <c r="B153" s="85"/>
      <c r="C153" s="85"/>
      <c r="E153" s="86"/>
      <c r="N153" s="83"/>
      <c r="R153" s="84"/>
    </row>
    <row r="154" spans="2:18">
      <c r="B154" s="85"/>
      <c r="C154" s="85"/>
      <c r="E154" s="86"/>
      <c r="N154" s="83"/>
      <c r="R154" s="84"/>
    </row>
    <row r="155" spans="2:18">
      <c r="B155" s="85"/>
      <c r="C155" s="85"/>
      <c r="E155" s="86"/>
      <c r="N155" s="83"/>
      <c r="R155" s="84"/>
    </row>
    <row r="156" spans="2:18">
      <c r="B156" s="85"/>
      <c r="C156" s="85"/>
      <c r="E156" s="86"/>
      <c r="N156" s="83"/>
      <c r="R156" s="84"/>
    </row>
    <row r="157" spans="2:18">
      <c r="B157" s="85"/>
      <c r="C157" s="85"/>
      <c r="E157" s="86"/>
      <c r="N157" s="83"/>
      <c r="R157" s="84"/>
    </row>
    <row r="158" spans="2:18">
      <c r="B158" s="85"/>
      <c r="C158" s="85"/>
      <c r="E158" s="86"/>
      <c r="N158" s="83"/>
      <c r="R158" s="84"/>
    </row>
    <row r="159" spans="2:18">
      <c r="B159" s="85"/>
      <c r="C159" s="85"/>
      <c r="E159" s="86"/>
      <c r="N159" s="83"/>
      <c r="R159" s="84"/>
    </row>
    <row r="160" spans="2:18">
      <c r="B160" s="85"/>
      <c r="C160" s="85"/>
      <c r="E160" s="86"/>
      <c r="N160" s="83"/>
      <c r="R160" s="84"/>
    </row>
    <row r="161" spans="2:18">
      <c r="B161" s="85"/>
      <c r="C161" s="85"/>
      <c r="E161" s="86"/>
      <c r="N161" s="83"/>
      <c r="R161" s="84"/>
    </row>
    <row r="162" spans="2:18">
      <c r="B162" s="85"/>
      <c r="C162" s="85"/>
      <c r="E162" s="86"/>
      <c r="N162" s="83"/>
      <c r="R162" s="84"/>
    </row>
    <row r="163" spans="2:18">
      <c r="B163" s="85"/>
      <c r="C163" s="85"/>
      <c r="E163" s="86"/>
      <c r="N163" s="83"/>
      <c r="R163" s="84"/>
    </row>
    <row r="164" spans="2:18">
      <c r="B164" s="85"/>
      <c r="C164" s="85"/>
      <c r="E164" s="86"/>
      <c r="N164" s="83"/>
      <c r="R164" s="84"/>
    </row>
    <row r="165" spans="2:18">
      <c r="B165" s="85"/>
      <c r="C165" s="85"/>
      <c r="E165" s="86"/>
      <c r="N165" s="83"/>
      <c r="R165" s="84"/>
    </row>
    <row r="166" spans="2:18">
      <c r="B166" s="85"/>
      <c r="C166" s="85"/>
      <c r="E166" s="86"/>
      <c r="N166" s="83"/>
      <c r="R166" s="84"/>
    </row>
    <row r="167" spans="2:18">
      <c r="B167" s="85"/>
      <c r="C167" s="85"/>
      <c r="E167" s="86"/>
      <c r="N167" s="83"/>
      <c r="R167" s="84"/>
    </row>
    <row r="168" spans="2:18">
      <c r="B168" s="85"/>
      <c r="C168" s="85"/>
      <c r="E168" s="86"/>
      <c r="N168" s="83"/>
      <c r="R168" s="84"/>
    </row>
    <row r="169" spans="2:18">
      <c r="B169" s="85"/>
      <c r="C169" s="85"/>
      <c r="E169" s="86"/>
      <c r="N169" s="83"/>
      <c r="R169" s="84"/>
    </row>
    <row r="170" spans="2:18">
      <c r="B170" s="85"/>
      <c r="C170" s="85"/>
      <c r="E170" s="86"/>
      <c r="N170" s="83"/>
      <c r="R170" s="84"/>
    </row>
    <row r="171" spans="2:18">
      <c r="B171" s="85"/>
      <c r="C171" s="85"/>
      <c r="E171" s="86"/>
      <c r="N171" s="83"/>
      <c r="R171" s="84"/>
    </row>
    <row r="172" spans="2:18">
      <c r="B172" s="85"/>
      <c r="C172" s="85"/>
      <c r="E172" s="86"/>
      <c r="N172" s="83"/>
      <c r="R172" s="84"/>
    </row>
    <row r="173" spans="2:18">
      <c r="B173" s="85"/>
      <c r="C173" s="85"/>
      <c r="E173" s="86"/>
      <c r="N173" s="83"/>
      <c r="R173" s="84"/>
    </row>
    <row r="174" spans="2:18">
      <c r="B174" s="85"/>
      <c r="C174" s="85"/>
      <c r="E174" s="86"/>
      <c r="N174" s="83"/>
      <c r="R174" s="84"/>
    </row>
    <row r="175" spans="2:18">
      <c r="B175" s="85"/>
      <c r="C175" s="85"/>
      <c r="E175" s="86"/>
      <c r="N175" s="83"/>
      <c r="R175" s="84"/>
    </row>
    <row r="176" spans="2:18">
      <c r="B176" s="85"/>
      <c r="C176" s="85"/>
      <c r="E176" s="86"/>
      <c r="N176" s="83"/>
      <c r="R176" s="84"/>
    </row>
    <row r="177" spans="2:18">
      <c r="B177" s="85"/>
      <c r="C177" s="85"/>
      <c r="E177" s="86"/>
      <c r="N177" s="83"/>
      <c r="R177" s="84"/>
    </row>
    <row r="178" spans="2:18">
      <c r="B178" s="85"/>
      <c r="C178" s="85"/>
      <c r="E178" s="86"/>
      <c r="N178" s="83"/>
      <c r="R178" s="84"/>
    </row>
    <row r="179" spans="2:18">
      <c r="B179" s="85"/>
      <c r="C179" s="85"/>
      <c r="E179" s="86"/>
      <c r="N179" s="83"/>
      <c r="R179" s="84"/>
    </row>
    <row r="180" spans="2:18">
      <c r="B180" s="85"/>
      <c r="C180" s="85"/>
      <c r="E180" s="86"/>
      <c r="N180" s="83"/>
      <c r="R180" s="84"/>
    </row>
    <row r="181" spans="2:18">
      <c r="B181" s="85"/>
      <c r="C181" s="85"/>
      <c r="E181" s="86"/>
      <c r="N181" s="83"/>
      <c r="R181" s="84"/>
    </row>
    <row r="182" spans="2:18">
      <c r="B182" s="85"/>
      <c r="C182" s="85"/>
      <c r="E182" s="86"/>
      <c r="N182" s="83"/>
      <c r="R182" s="84"/>
    </row>
    <row r="183" spans="2:18">
      <c r="B183" s="85"/>
      <c r="C183" s="85"/>
      <c r="E183" s="86"/>
      <c r="N183" s="83"/>
      <c r="R183" s="84"/>
    </row>
    <row r="184" spans="2:18">
      <c r="B184" s="85"/>
      <c r="C184" s="85"/>
      <c r="E184" s="86"/>
      <c r="N184" s="83"/>
      <c r="R184" s="84"/>
    </row>
    <row r="185" spans="2:18">
      <c r="B185" s="85"/>
      <c r="C185" s="85"/>
      <c r="E185" s="86"/>
      <c r="N185" s="83"/>
      <c r="R185" s="84"/>
    </row>
    <row r="186" spans="2:18">
      <c r="B186" s="85"/>
      <c r="C186" s="85"/>
      <c r="E186" s="86"/>
      <c r="N186" s="83"/>
      <c r="R186" s="84"/>
    </row>
    <row r="187" spans="2:18">
      <c r="B187" s="85"/>
      <c r="C187" s="85"/>
      <c r="E187" s="86"/>
      <c r="N187" s="83"/>
      <c r="R187" s="84"/>
    </row>
    <row r="188" spans="2:18">
      <c r="B188" s="85"/>
      <c r="C188" s="85"/>
      <c r="E188" s="86"/>
      <c r="N188" s="83"/>
      <c r="R188" s="84"/>
    </row>
    <row r="189" spans="2:18">
      <c r="B189" s="85"/>
      <c r="C189" s="85"/>
      <c r="E189" s="86"/>
      <c r="N189" s="83"/>
      <c r="R189" s="84"/>
    </row>
    <row r="190" spans="2:18">
      <c r="B190" s="85"/>
      <c r="C190" s="85"/>
      <c r="E190" s="86"/>
      <c r="N190" s="83"/>
      <c r="R190" s="84"/>
    </row>
    <row r="191" spans="2:18">
      <c r="B191" s="85"/>
      <c r="C191" s="85"/>
      <c r="E191" s="86"/>
      <c r="N191" s="83"/>
      <c r="R191" s="84"/>
    </row>
    <row r="192" spans="2:18">
      <c r="B192" s="85"/>
      <c r="C192" s="85"/>
      <c r="E192" s="86"/>
      <c r="N192" s="83"/>
      <c r="R192" s="84"/>
    </row>
    <row r="193" spans="2:18">
      <c r="B193" s="85"/>
      <c r="C193" s="85"/>
      <c r="E193" s="86"/>
      <c r="N193" s="83"/>
      <c r="R193" s="84"/>
    </row>
    <row r="194" spans="2:18">
      <c r="B194" s="85"/>
      <c r="C194" s="85"/>
      <c r="E194" s="86"/>
      <c r="N194" s="83"/>
      <c r="R194" s="84"/>
    </row>
    <row r="195" spans="2:18">
      <c r="B195" s="85"/>
      <c r="C195" s="85"/>
      <c r="E195" s="86"/>
      <c r="N195" s="83"/>
      <c r="R195" s="84"/>
    </row>
    <row r="196" spans="2:18">
      <c r="B196" s="85"/>
      <c r="C196" s="85"/>
      <c r="E196" s="86"/>
      <c r="N196" s="83"/>
      <c r="R196" s="84"/>
    </row>
    <row r="197" spans="2:18">
      <c r="B197" s="85"/>
      <c r="C197" s="85"/>
      <c r="E197" s="86"/>
      <c r="N197" s="83"/>
      <c r="R197" s="84"/>
    </row>
    <row r="198" spans="2:18">
      <c r="B198" s="85"/>
      <c r="C198" s="85"/>
      <c r="E198" s="86"/>
      <c r="N198" s="83"/>
      <c r="R198" s="84"/>
    </row>
    <row r="199" spans="2:18">
      <c r="B199" s="85"/>
      <c r="C199" s="85"/>
      <c r="E199" s="86"/>
      <c r="N199" s="83"/>
      <c r="R199" s="84"/>
    </row>
    <row r="200" spans="2:18">
      <c r="B200" s="85"/>
      <c r="C200" s="85"/>
      <c r="E200" s="86"/>
      <c r="N200" s="83"/>
      <c r="R200" s="84"/>
    </row>
    <row r="201" spans="2:18">
      <c r="B201" s="85"/>
      <c r="C201" s="85"/>
      <c r="E201" s="86"/>
      <c r="N201" s="83"/>
      <c r="R201" s="84"/>
    </row>
    <row r="202" spans="2:18">
      <c r="B202" s="85"/>
      <c r="C202" s="85"/>
      <c r="E202" s="86"/>
      <c r="N202" s="83"/>
      <c r="R202" s="84"/>
    </row>
    <row r="203" spans="2:18">
      <c r="B203" s="85"/>
      <c r="C203" s="85"/>
      <c r="E203" s="86"/>
      <c r="N203" s="83"/>
      <c r="R203" s="84"/>
    </row>
    <row r="204" spans="2:18">
      <c r="B204" s="85"/>
      <c r="C204" s="85"/>
      <c r="E204" s="86"/>
      <c r="N204" s="83"/>
      <c r="R204" s="84"/>
    </row>
    <row r="205" spans="2:18">
      <c r="B205" s="85"/>
      <c r="C205" s="85"/>
      <c r="E205" s="86"/>
      <c r="N205" s="83"/>
      <c r="R205" s="84"/>
    </row>
    <row r="206" spans="2:18">
      <c r="B206" s="85"/>
      <c r="C206" s="85"/>
      <c r="E206" s="86"/>
      <c r="N206" s="83"/>
      <c r="R206" s="84"/>
    </row>
    <row r="207" spans="2:18">
      <c r="B207" s="85"/>
      <c r="C207" s="85"/>
      <c r="E207" s="86"/>
      <c r="N207" s="83"/>
      <c r="R207" s="84"/>
    </row>
    <row r="208" spans="2:18">
      <c r="B208" s="85"/>
      <c r="C208" s="85"/>
      <c r="E208" s="86"/>
      <c r="N208" s="83"/>
      <c r="R208" s="84"/>
    </row>
    <row r="209" spans="2:18">
      <c r="B209" s="85"/>
      <c r="C209" s="85"/>
      <c r="E209" s="86"/>
      <c r="N209" s="83"/>
      <c r="R209" s="84"/>
    </row>
    <row r="210" spans="2:18">
      <c r="B210" s="85"/>
      <c r="C210" s="85"/>
      <c r="E210" s="86"/>
      <c r="N210" s="83"/>
      <c r="R210" s="84"/>
    </row>
    <row r="211" spans="2:18">
      <c r="B211" s="85"/>
      <c r="C211" s="85"/>
      <c r="E211" s="86"/>
      <c r="N211" s="83"/>
      <c r="R211" s="84"/>
    </row>
    <row r="212" spans="2:18">
      <c r="B212" s="85"/>
      <c r="C212" s="85"/>
      <c r="E212" s="86"/>
      <c r="N212" s="83"/>
      <c r="R212" s="84"/>
    </row>
    <row r="213" spans="2:18">
      <c r="B213" s="85"/>
      <c r="C213" s="85"/>
      <c r="E213" s="86"/>
      <c r="N213" s="83"/>
      <c r="R213" s="84"/>
    </row>
    <row r="214" spans="2:18">
      <c r="B214" s="85"/>
      <c r="C214" s="85"/>
      <c r="E214" s="86"/>
      <c r="N214" s="83"/>
      <c r="R214" s="84"/>
    </row>
    <row r="215" spans="2:18">
      <c r="B215" s="85"/>
      <c r="C215" s="85"/>
      <c r="E215" s="86"/>
      <c r="N215" s="83"/>
      <c r="R215" s="84"/>
    </row>
    <row r="216" spans="2:18">
      <c r="B216" s="85"/>
      <c r="C216" s="85"/>
      <c r="E216" s="86"/>
      <c r="N216" s="83"/>
      <c r="R216" s="84"/>
    </row>
    <row r="217" spans="2:18">
      <c r="B217" s="85"/>
      <c r="C217" s="85"/>
      <c r="E217" s="86"/>
      <c r="N217" s="83"/>
      <c r="R217" s="84"/>
    </row>
    <row r="218" spans="2:18">
      <c r="B218" s="85"/>
      <c r="C218" s="85"/>
      <c r="E218" s="86"/>
      <c r="N218" s="83"/>
      <c r="R218" s="84"/>
    </row>
    <row r="219" spans="2:18">
      <c r="B219" s="85"/>
      <c r="C219" s="85"/>
      <c r="E219" s="86"/>
      <c r="N219" s="83"/>
      <c r="R219" s="84"/>
    </row>
    <row r="220" spans="2:18">
      <c r="B220" s="85"/>
      <c r="C220" s="85"/>
      <c r="E220" s="86"/>
      <c r="N220" s="83"/>
      <c r="R220" s="84"/>
    </row>
    <row r="221" spans="2:18">
      <c r="B221" s="85"/>
      <c r="C221" s="85"/>
      <c r="E221" s="86"/>
      <c r="N221" s="83"/>
      <c r="R221" s="84"/>
    </row>
    <row r="222" spans="2:18">
      <c r="B222" s="85"/>
      <c r="C222" s="85"/>
      <c r="E222" s="86"/>
      <c r="N222" s="83"/>
      <c r="R222" s="84"/>
    </row>
    <row r="223" spans="2:18">
      <c r="B223" s="85"/>
      <c r="C223" s="85"/>
      <c r="E223" s="86"/>
      <c r="N223" s="83"/>
      <c r="R223" s="84"/>
    </row>
    <row r="224" spans="2:18">
      <c r="B224" s="85"/>
      <c r="C224" s="85"/>
      <c r="E224" s="86"/>
      <c r="N224" s="83"/>
      <c r="R224" s="84"/>
    </row>
    <row r="225" spans="2:18">
      <c r="B225" s="85"/>
      <c r="C225" s="85"/>
      <c r="E225" s="86"/>
      <c r="N225" s="83"/>
      <c r="R225" s="84"/>
    </row>
    <row r="226" spans="2:18">
      <c r="B226" s="85"/>
      <c r="C226" s="85"/>
      <c r="E226" s="86"/>
      <c r="N226" s="83"/>
      <c r="R226" s="84"/>
    </row>
    <row r="227" spans="2:18">
      <c r="B227" s="85"/>
      <c r="C227" s="85"/>
      <c r="E227" s="86"/>
      <c r="N227" s="83"/>
      <c r="R227" s="84"/>
    </row>
    <row r="228" spans="2:18">
      <c r="B228" s="85"/>
      <c r="C228" s="85"/>
      <c r="E228" s="86"/>
      <c r="N228" s="83"/>
      <c r="R228" s="84"/>
    </row>
    <row r="229" spans="2:18">
      <c r="B229" s="85"/>
      <c r="C229" s="85"/>
      <c r="E229" s="86"/>
      <c r="N229" s="83"/>
      <c r="R229" s="84"/>
    </row>
    <row r="230" spans="2:18">
      <c r="B230" s="85"/>
      <c r="C230" s="85"/>
      <c r="E230" s="86"/>
      <c r="N230" s="83"/>
      <c r="R230" s="84"/>
    </row>
    <row r="231" spans="2:18">
      <c r="B231" s="85"/>
      <c r="C231" s="85"/>
      <c r="E231" s="86"/>
      <c r="N231" s="83"/>
      <c r="R231" s="84"/>
    </row>
    <row r="232" spans="2:18">
      <c r="B232" s="85"/>
      <c r="C232" s="85"/>
      <c r="E232" s="86"/>
      <c r="N232" s="83"/>
      <c r="R232" s="84"/>
    </row>
    <row r="233" spans="2:18">
      <c r="B233" s="85"/>
      <c r="C233" s="85"/>
      <c r="E233" s="86"/>
      <c r="N233" s="83"/>
      <c r="R233" s="84"/>
    </row>
    <row r="234" spans="2:18">
      <c r="B234" s="85"/>
      <c r="C234" s="85"/>
      <c r="E234" s="86"/>
      <c r="N234" s="83"/>
      <c r="R234" s="84"/>
    </row>
    <row r="235" spans="2:18">
      <c r="B235" s="85"/>
      <c r="C235" s="85"/>
      <c r="E235" s="86"/>
      <c r="N235" s="83"/>
      <c r="R235" s="84"/>
    </row>
    <row r="236" spans="2:18">
      <c r="B236" s="85"/>
      <c r="C236" s="85"/>
      <c r="E236" s="86"/>
      <c r="N236" s="83"/>
      <c r="R236" s="84"/>
    </row>
    <row r="237" spans="2:18">
      <c r="B237" s="85"/>
      <c r="C237" s="85"/>
      <c r="E237" s="86"/>
      <c r="N237" s="83"/>
      <c r="R237" s="84"/>
    </row>
    <row r="238" spans="2:18">
      <c r="B238" s="85"/>
      <c r="C238" s="85"/>
      <c r="E238" s="86"/>
      <c r="N238" s="83"/>
      <c r="R238" s="84"/>
    </row>
    <row r="239" spans="2:18">
      <c r="B239" s="85"/>
      <c r="C239" s="85"/>
      <c r="E239" s="86"/>
      <c r="N239" s="83"/>
      <c r="R239" s="84"/>
    </row>
    <row r="240" spans="2:18">
      <c r="B240" s="85"/>
      <c r="C240" s="85"/>
      <c r="E240" s="86"/>
      <c r="N240" s="83"/>
      <c r="R240" s="84"/>
    </row>
    <row r="241" spans="2:18">
      <c r="B241" s="85"/>
      <c r="C241" s="85"/>
      <c r="E241" s="86"/>
      <c r="N241" s="83"/>
      <c r="R241" s="84"/>
    </row>
    <row r="242" spans="2:18">
      <c r="B242" s="85"/>
      <c r="C242" s="85"/>
      <c r="E242" s="86"/>
      <c r="N242" s="83"/>
      <c r="R242" s="84"/>
    </row>
    <row r="243" spans="2:18">
      <c r="B243" s="85"/>
      <c r="C243" s="85"/>
      <c r="E243" s="86"/>
      <c r="N243" s="83"/>
      <c r="R243" s="84"/>
    </row>
    <row r="244" spans="2:18">
      <c r="B244" s="85"/>
      <c r="C244" s="85"/>
      <c r="E244" s="86"/>
      <c r="N244" s="83"/>
      <c r="R244" s="84"/>
    </row>
    <row r="245" spans="2:18">
      <c r="B245" s="85"/>
      <c r="C245" s="85"/>
      <c r="E245" s="86"/>
      <c r="N245" s="83"/>
      <c r="R245" s="84"/>
    </row>
    <row r="246" spans="2:18">
      <c r="B246" s="85"/>
      <c r="C246" s="85"/>
      <c r="E246" s="86"/>
      <c r="N246" s="83"/>
      <c r="R246" s="84"/>
    </row>
    <row r="247" spans="2:18">
      <c r="B247" s="85"/>
      <c r="C247" s="85"/>
      <c r="E247" s="86"/>
      <c r="N247" s="83"/>
      <c r="R247" s="84"/>
    </row>
    <row r="248" spans="2:18">
      <c r="B248" s="85"/>
      <c r="C248" s="85"/>
      <c r="E248" s="86"/>
      <c r="N248" s="83"/>
      <c r="R248" s="84"/>
    </row>
    <row r="249" spans="2:18">
      <c r="B249" s="85"/>
      <c r="C249" s="85"/>
      <c r="E249" s="86"/>
      <c r="N249" s="83"/>
      <c r="R249" s="84"/>
    </row>
    <row r="250" spans="2:18">
      <c r="B250" s="85"/>
      <c r="C250" s="85"/>
      <c r="E250" s="86"/>
      <c r="N250" s="83"/>
      <c r="R250" s="84"/>
    </row>
    <row r="251" spans="2:18">
      <c r="B251" s="85"/>
      <c r="C251" s="85"/>
      <c r="E251" s="86"/>
      <c r="N251" s="83"/>
      <c r="R251" s="84"/>
    </row>
    <row r="252" spans="2:18">
      <c r="B252" s="85"/>
      <c r="C252" s="85"/>
      <c r="E252" s="86"/>
      <c r="N252" s="83"/>
      <c r="R252" s="84"/>
    </row>
    <row r="253" spans="2:18">
      <c r="B253" s="85"/>
      <c r="C253" s="85"/>
      <c r="E253" s="86"/>
      <c r="N253" s="83"/>
      <c r="R253" s="84"/>
    </row>
    <row r="254" spans="2:18">
      <c r="B254" s="85"/>
      <c r="C254" s="85"/>
      <c r="E254" s="86"/>
      <c r="N254" s="83"/>
      <c r="R254" s="84"/>
    </row>
    <row r="255" spans="2:18">
      <c r="B255" s="85"/>
      <c r="C255" s="85"/>
      <c r="E255" s="86"/>
      <c r="N255" s="83"/>
      <c r="R255" s="84"/>
    </row>
    <row r="256" spans="2:18">
      <c r="B256" s="85"/>
      <c r="C256" s="85"/>
      <c r="E256" s="86"/>
      <c r="N256" s="83"/>
      <c r="R256" s="84"/>
    </row>
    <row r="257" spans="2:18">
      <c r="B257" s="85"/>
      <c r="C257" s="85"/>
      <c r="E257" s="86"/>
      <c r="N257" s="83"/>
      <c r="R257" s="84"/>
    </row>
    <row r="258" spans="2:18">
      <c r="B258" s="85"/>
      <c r="C258" s="85"/>
      <c r="E258" s="86"/>
      <c r="N258" s="83"/>
      <c r="R258" s="84"/>
    </row>
    <row r="259" spans="2:18">
      <c r="B259" s="85"/>
      <c r="C259" s="85"/>
      <c r="E259" s="86"/>
      <c r="N259" s="83"/>
      <c r="R259" s="84"/>
    </row>
    <row r="260" spans="2:18">
      <c r="B260" s="85"/>
      <c r="C260" s="85"/>
      <c r="E260" s="86"/>
      <c r="N260" s="83"/>
      <c r="R260" s="84"/>
    </row>
    <row r="261" spans="2:18">
      <c r="B261" s="85"/>
      <c r="C261" s="85"/>
      <c r="E261" s="86"/>
      <c r="N261" s="83"/>
      <c r="R261" s="84"/>
    </row>
    <row r="262" spans="2:18">
      <c r="B262" s="85"/>
      <c r="C262" s="85"/>
      <c r="E262" s="86"/>
      <c r="N262" s="83"/>
      <c r="R262" s="84"/>
    </row>
    <row r="263" spans="2:18">
      <c r="B263" s="85"/>
      <c r="C263" s="85"/>
      <c r="E263" s="86"/>
      <c r="N263" s="83"/>
      <c r="R263" s="84"/>
    </row>
    <row r="264" spans="2:18">
      <c r="B264" s="85"/>
      <c r="C264" s="85"/>
      <c r="E264" s="86"/>
      <c r="N264" s="83"/>
      <c r="R264" s="84"/>
    </row>
    <row r="265" spans="2:18">
      <c r="B265" s="85"/>
      <c r="C265" s="85"/>
      <c r="E265" s="86"/>
      <c r="N265" s="83"/>
      <c r="R265" s="84"/>
    </row>
    <row r="266" spans="2:18">
      <c r="B266" s="85"/>
      <c r="C266" s="85"/>
      <c r="E266" s="86"/>
      <c r="N266" s="83"/>
      <c r="R266" s="84"/>
    </row>
    <row r="267" spans="2:18">
      <c r="B267" s="85"/>
      <c r="C267" s="85"/>
      <c r="E267" s="86"/>
      <c r="N267" s="83"/>
      <c r="R267" s="84"/>
    </row>
    <row r="268" spans="2:18">
      <c r="B268" s="85"/>
      <c r="C268" s="85"/>
      <c r="E268" s="86"/>
      <c r="N268" s="83"/>
      <c r="R268" s="84"/>
    </row>
    <row r="269" spans="2:18">
      <c r="B269" s="85"/>
      <c r="C269" s="85"/>
      <c r="E269" s="86"/>
      <c r="N269" s="83"/>
      <c r="R269" s="84"/>
    </row>
    <row r="270" spans="2:18">
      <c r="B270" s="85"/>
      <c r="C270" s="85"/>
      <c r="E270" s="86"/>
      <c r="N270" s="83"/>
      <c r="R270" s="84"/>
    </row>
    <row r="271" spans="2:18">
      <c r="B271" s="85"/>
      <c r="C271" s="85"/>
      <c r="E271" s="86"/>
      <c r="N271" s="83"/>
      <c r="R271" s="84"/>
    </row>
    <row r="272" spans="2:18">
      <c r="B272" s="85"/>
      <c r="C272" s="85"/>
      <c r="E272" s="86"/>
      <c r="N272" s="83"/>
      <c r="R272" s="84"/>
    </row>
    <row r="273" spans="2:18">
      <c r="B273" s="85"/>
      <c r="C273" s="85"/>
      <c r="E273" s="86"/>
      <c r="N273" s="83"/>
      <c r="R273" s="84"/>
    </row>
    <row r="274" spans="2:18">
      <c r="B274" s="85"/>
      <c r="C274" s="85"/>
      <c r="E274" s="86"/>
      <c r="N274" s="83"/>
      <c r="R274" s="84"/>
    </row>
    <row r="275" spans="2:18">
      <c r="B275" s="85"/>
      <c r="C275" s="85"/>
      <c r="E275" s="86"/>
      <c r="N275" s="83"/>
      <c r="R275" s="84"/>
    </row>
    <row r="276" spans="2:18">
      <c r="B276" s="85"/>
      <c r="C276" s="85"/>
      <c r="E276" s="86"/>
      <c r="N276" s="83"/>
      <c r="R276" s="84"/>
    </row>
    <row r="277" spans="2:18">
      <c r="B277" s="85"/>
      <c r="C277" s="85"/>
      <c r="E277" s="86"/>
      <c r="N277" s="83"/>
      <c r="R277" s="84"/>
    </row>
    <row r="278" spans="2:18">
      <c r="B278" s="85"/>
      <c r="C278" s="85"/>
      <c r="E278" s="86"/>
      <c r="N278" s="83"/>
      <c r="R278" s="84"/>
    </row>
    <row r="279" spans="2:18">
      <c r="B279" s="85"/>
      <c r="C279" s="85"/>
      <c r="E279" s="86"/>
      <c r="N279" s="83"/>
      <c r="R279" s="84"/>
    </row>
    <row r="280" spans="2:18">
      <c r="B280" s="85"/>
      <c r="C280" s="85"/>
      <c r="E280" s="86"/>
      <c r="N280" s="83"/>
      <c r="R280" s="84"/>
    </row>
    <row r="281" spans="2:18">
      <c r="B281" s="85"/>
      <c r="C281" s="85"/>
      <c r="E281" s="86"/>
      <c r="N281" s="83"/>
      <c r="R281" s="84"/>
    </row>
    <row r="282" spans="2:18">
      <c r="B282" s="85"/>
      <c r="C282" s="85"/>
      <c r="E282" s="86"/>
      <c r="N282" s="83"/>
      <c r="R282" s="84"/>
    </row>
    <row r="283" spans="2:18">
      <c r="B283" s="85"/>
      <c r="C283" s="85"/>
      <c r="E283" s="86"/>
      <c r="N283" s="83"/>
      <c r="R283" s="84"/>
    </row>
    <row r="284" spans="2:18">
      <c r="B284" s="85"/>
      <c r="C284" s="85"/>
      <c r="E284" s="86"/>
      <c r="N284" s="83"/>
      <c r="R284" s="84"/>
    </row>
    <row r="285" spans="2:18">
      <c r="B285" s="85"/>
      <c r="C285" s="85"/>
      <c r="E285" s="86"/>
      <c r="N285" s="83"/>
      <c r="R285" s="84"/>
    </row>
    <row r="286" spans="2:18">
      <c r="B286" s="85"/>
      <c r="C286" s="85"/>
      <c r="E286" s="86"/>
      <c r="N286" s="83"/>
      <c r="R286" s="84"/>
    </row>
    <row r="287" spans="2:18">
      <c r="B287" s="85"/>
      <c r="C287" s="85"/>
      <c r="E287" s="86"/>
      <c r="N287" s="83"/>
      <c r="R287" s="84"/>
    </row>
    <row r="288" spans="2:18">
      <c r="B288" s="85"/>
      <c r="C288" s="85"/>
      <c r="E288" s="86"/>
      <c r="N288" s="83"/>
      <c r="R288" s="84"/>
    </row>
    <row r="289" spans="2:18">
      <c r="B289" s="85"/>
      <c r="C289" s="85"/>
      <c r="E289" s="86"/>
      <c r="N289" s="83"/>
      <c r="R289" s="84"/>
    </row>
    <row r="290" spans="2:18">
      <c r="B290" s="85"/>
      <c r="C290" s="85"/>
      <c r="E290" s="86"/>
      <c r="N290" s="83"/>
      <c r="R290" s="84"/>
    </row>
    <row r="291" spans="2:18">
      <c r="B291" s="85"/>
      <c r="C291" s="85"/>
      <c r="E291" s="86"/>
      <c r="N291" s="83"/>
      <c r="R291" s="84"/>
    </row>
    <row r="292" spans="2:18">
      <c r="B292" s="85"/>
      <c r="C292" s="85"/>
      <c r="E292" s="86"/>
      <c r="N292" s="83"/>
      <c r="R292" s="84"/>
    </row>
    <row r="293" spans="2:18">
      <c r="B293" s="85"/>
      <c r="C293" s="85"/>
      <c r="E293" s="86"/>
      <c r="N293" s="83"/>
      <c r="R293" s="84"/>
    </row>
    <row r="294" spans="2:18">
      <c r="B294" s="85"/>
      <c r="C294" s="85"/>
      <c r="E294" s="86"/>
      <c r="N294" s="83"/>
      <c r="R294" s="84"/>
    </row>
    <row r="295" spans="2:18">
      <c r="B295" s="85"/>
      <c r="C295" s="85"/>
      <c r="E295" s="86"/>
      <c r="N295" s="83"/>
      <c r="R295" s="84"/>
    </row>
    <row r="296" spans="2:18">
      <c r="B296" s="85"/>
      <c r="C296" s="85"/>
      <c r="E296" s="86"/>
      <c r="N296" s="83"/>
      <c r="R296" s="84"/>
    </row>
    <row r="297" spans="2:18">
      <c r="B297" s="85"/>
      <c r="C297" s="85"/>
      <c r="E297" s="86"/>
      <c r="N297" s="83"/>
      <c r="R297" s="84"/>
    </row>
    <row r="298" spans="2:18">
      <c r="B298" s="85"/>
      <c r="C298" s="85"/>
      <c r="E298" s="86"/>
      <c r="N298" s="83"/>
      <c r="R298" s="84"/>
    </row>
    <row r="299" spans="2:18">
      <c r="B299" s="85"/>
      <c r="C299" s="85"/>
      <c r="E299" s="86"/>
      <c r="N299" s="83"/>
      <c r="R299" s="84"/>
    </row>
    <row r="300" spans="2:18">
      <c r="B300" s="85"/>
      <c r="C300" s="85"/>
      <c r="E300" s="86"/>
      <c r="N300" s="83"/>
      <c r="R300" s="84"/>
    </row>
    <row r="301" spans="2:18">
      <c r="B301" s="85"/>
      <c r="C301" s="85"/>
      <c r="E301" s="86"/>
      <c r="N301" s="83"/>
      <c r="R301" s="84"/>
    </row>
    <row r="302" spans="2:18">
      <c r="B302" s="85"/>
      <c r="C302" s="85"/>
      <c r="E302" s="86"/>
      <c r="N302" s="83"/>
      <c r="R302" s="84"/>
    </row>
    <row r="303" spans="2:18">
      <c r="B303" s="85"/>
      <c r="C303" s="85"/>
      <c r="E303" s="86"/>
      <c r="N303" s="83"/>
      <c r="R303" s="84"/>
    </row>
    <row r="304" spans="2:18">
      <c r="B304" s="85"/>
      <c r="C304" s="85"/>
      <c r="E304" s="86"/>
      <c r="N304" s="83"/>
      <c r="R304" s="84"/>
    </row>
    <row r="305" spans="2:18">
      <c r="B305" s="85"/>
      <c r="C305" s="85"/>
      <c r="E305" s="86"/>
      <c r="N305" s="83"/>
      <c r="R305" s="84"/>
    </row>
    <row r="306" spans="2:18">
      <c r="B306" s="85"/>
      <c r="C306" s="85"/>
      <c r="E306" s="86"/>
      <c r="N306" s="83"/>
      <c r="R306" s="84"/>
    </row>
    <row r="307" spans="2:18">
      <c r="B307" s="85"/>
      <c r="C307" s="85"/>
      <c r="E307" s="86"/>
      <c r="N307" s="83"/>
      <c r="R307" s="84"/>
    </row>
    <row r="308" spans="2:18">
      <c r="B308" s="85"/>
      <c r="C308" s="85"/>
      <c r="E308" s="86"/>
      <c r="N308" s="83"/>
      <c r="R308" s="84"/>
    </row>
    <row r="309" spans="2:18">
      <c r="B309" s="85"/>
      <c r="C309" s="85"/>
      <c r="E309" s="86"/>
      <c r="N309" s="83"/>
      <c r="R309" s="84"/>
    </row>
    <row r="310" spans="2:18">
      <c r="B310" s="85"/>
      <c r="C310" s="85"/>
      <c r="E310" s="86"/>
      <c r="N310" s="83"/>
      <c r="R310" s="84"/>
    </row>
    <row r="311" spans="2:18">
      <c r="B311" s="85"/>
      <c r="C311" s="85"/>
      <c r="E311" s="86"/>
      <c r="N311" s="83"/>
      <c r="R311" s="84"/>
    </row>
    <row r="312" spans="2:18">
      <c r="B312" s="85"/>
      <c r="C312" s="85"/>
      <c r="E312" s="86"/>
      <c r="N312" s="83"/>
      <c r="R312" s="84"/>
    </row>
    <row r="313" spans="2:18">
      <c r="B313" s="85"/>
      <c r="C313" s="85"/>
      <c r="E313" s="86"/>
      <c r="N313" s="83"/>
      <c r="R313" s="84"/>
    </row>
    <row r="314" spans="2:18">
      <c r="B314" s="85"/>
      <c r="C314" s="85"/>
      <c r="E314" s="86"/>
      <c r="N314" s="83"/>
      <c r="R314" s="84"/>
    </row>
    <row r="315" spans="2:18">
      <c r="B315" s="85"/>
      <c r="C315" s="85"/>
      <c r="E315" s="86"/>
      <c r="N315" s="83"/>
      <c r="R315" s="84"/>
    </row>
    <row r="316" spans="2:18">
      <c r="B316" s="85"/>
      <c r="C316" s="85"/>
      <c r="E316" s="86"/>
      <c r="N316" s="83"/>
      <c r="R316" s="84"/>
    </row>
    <row r="317" spans="2:18">
      <c r="B317" s="85"/>
      <c r="C317" s="85"/>
      <c r="E317" s="86"/>
      <c r="N317" s="83"/>
      <c r="R317" s="84"/>
    </row>
    <row r="318" spans="2:18">
      <c r="B318" s="85"/>
      <c r="C318" s="85"/>
      <c r="E318" s="86"/>
      <c r="N318" s="83"/>
      <c r="R318" s="84"/>
    </row>
    <row r="319" spans="2:18">
      <c r="B319" s="85"/>
      <c r="C319" s="85"/>
      <c r="E319" s="86"/>
      <c r="N319" s="83"/>
      <c r="R319" s="84"/>
    </row>
    <row r="320" spans="2:18">
      <c r="B320" s="85"/>
      <c r="C320" s="85"/>
      <c r="E320" s="86"/>
      <c r="N320" s="83"/>
      <c r="R320" s="84"/>
    </row>
    <row r="321" spans="2:18">
      <c r="B321" s="85"/>
      <c r="C321" s="85"/>
      <c r="E321" s="86"/>
      <c r="N321" s="83"/>
      <c r="R321" s="84"/>
    </row>
    <row r="322" spans="2:18">
      <c r="B322" s="85"/>
      <c r="C322" s="85"/>
      <c r="E322" s="86"/>
      <c r="N322" s="83"/>
      <c r="R322" s="84"/>
    </row>
    <row r="323" spans="2:18">
      <c r="B323" s="85"/>
      <c r="C323" s="85"/>
      <c r="E323" s="86"/>
      <c r="N323" s="83"/>
      <c r="R323" s="84"/>
    </row>
    <row r="324" spans="2:18">
      <c r="B324" s="85"/>
      <c r="C324" s="85"/>
      <c r="E324" s="86"/>
      <c r="N324" s="83"/>
      <c r="R324" s="84"/>
    </row>
    <row r="325" spans="2:18">
      <c r="B325" s="85"/>
      <c r="C325" s="85"/>
      <c r="E325" s="86"/>
      <c r="N325" s="83"/>
      <c r="R325" s="84"/>
    </row>
    <row r="326" spans="2:18">
      <c r="B326" s="85"/>
      <c r="C326" s="85"/>
      <c r="E326" s="86"/>
      <c r="N326" s="83"/>
      <c r="R326" s="84"/>
    </row>
    <row r="327" spans="2:18">
      <c r="B327" s="85"/>
      <c r="C327" s="85"/>
      <c r="E327" s="86"/>
      <c r="N327" s="83"/>
      <c r="R327" s="84"/>
    </row>
    <row r="328" spans="2:18">
      <c r="B328" s="85"/>
      <c r="C328" s="85"/>
      <c r="E328" s="86"/>
      <c r="N328" s="83"/>
      <c r="R328" s="84"/>
    </row>
    <row r="329" spans="2:18">
      <c r="B329" s="85"/>
      <c r="C329" s="85"/>
      <c r="E329" s="86"/>
      <c r="N329" s="83"/>
      <c r="R329" s="84"/>
    </row>
    <row r="330" spans="2:18">
      <c r="B330" s="85"/>
      <c r="C330" s="85"/>
      <c r="E330" s="86"/>
      <c r="N330" s="83"/>
      <c r="R330" s="84"/>
    </row>
    <row r="331" spans="2:18">
      <c r="B331" s="85"/>
      <c r="C331" s="85"/>
      <c r="E331" s="86"/>
      <c r="N331" s="83"/>
      <c r="R331" s="84"/>
    </row>
    <row r="332" spans="2:18">
      <c r="B332" s="85"/>
      <c r="C332" s="85"/>
      <c r="E332" s="86"/>
      <c r="N332" s="83"/>
      <c r="R332" s="84"/>
    </row>
    <row r="333" spans="2:18">
      <c r="B333" s="85"/>
      <c r="C333" s="85"/>
      <c r="E333" s="86"/>
      <c r="N333" s="83"/>
      <c r="R333" s="84"/>
    </row>
    <row r="334" spans="2:18">
      <c r="B334" s="85"/>
      <c r="C334" s="85"/>
      <c r="E334" s="86"/>
      <c r="N334" s="83"/>
      <c r="R334" s="84"/>
    </row>
    <row r="335" spans="2:18">
      <c r="B335" s="85"/>
      <c r="C335" s="85"/>
      <c r="E335" s="86"/>
      <c r="N335" s="83"/>
      <c r="R335" s="84"/>
    </row>
    <row r="336" spans="2:18">
      <c r="B336" s="85"/>
      <c r="C336" s="85"/>
      <c r="E336" s="86"/>
      <c r="N336" s="83"/>
      <c r="R336" s="84"/>
    </row>
    <row r="337" spans="2:18">
      <c r="B337" s="85"/>
      <c r="C337" s="85"/>
      <c r="E337" s="86"/>
      <c r="N337" s="83"/>
      <c r="R337" s="84"/>
    </row>
    <row r="338" spans="2:18">
      <c r="B338" s="85"/>
      <c r="C338" s="85"/>
      <c r="E338" s="86"/>
      <c r="N338" s="83"/>
      <c r="R338" s="84"/>
    </row>
    <row r="339" spans="2:18">
      <c r="B339" s="85"/>
      <c r="C339" s="85"/>
      <c r="E339" s="86"/>
      <c r="N339" s="83"/>
      <c r="R339" s="84"/>
    </row>
    <row r="340" spans="2:18">
      <c r="B340" s="85"/>
      <c r="C340" s="85"/>
      <c r="E340" s="86"/>
      <c r="N340" s="83"/>
      <c r="R340" s="84"/>
    </row>
    <row r="341" spans="2:18">
      <c r="B341" s="85"/>
      <c r="C341" s="85"/>
      <c r="E341" s="86"/>
      <c r="N341" s="83"/>
      <c r="R341" s="84"/>
    </row>
    <row r="342" spans="2:18">
      <c r="B342" s="85"/>
      <c r="C342" s="85"/>
      <c r="E342" s="86"/>
      <c r="N342" s="83"/>
      <c r="R342" s="84"/>
    </row>
    <row r="343" spans="2:18">
      <c r="B343" s="85"/>
      <c r="C343" s="85"/>
      <c r="E343" s="86"/>
      <c r="N343" s="83"/>
      <c r="R343" s="84"/>
    </row>
    <row r="344" spans="2:18">
      <c r="B344" s="85"/>
      <c r="C344" s="85"/>
      <c r="E344" s="86"/>
      <c r="N344" s="83"/>
      <c r="R344" s="84"/>
    </row>
    <row r="345" spans="2:18">
      <c r="B345" s="85"/>
      <c r="C345" s="85"/>
      <c r="E345" s="86"/>
      <c r="N345" s="83"/>
      <c r="R345" s="84"/>
    </row>
    <row r="346" spans="2:18">
      <c r="B346" s="85"/>
      <c r="C346" s="85"/>
      <c r="E346" s="86"/>
      <c r="N346" s="83"/>
      <c r="R346" s="84"/>
    </row>
    <row r="347" spans="2:18">
      <c r="B347" s="85"/>
      <c r="C347" s="85"/>
      <c r="E347" s="86"/>
      <c r="N347" s="83"/>
      <c r="R347" s="84"/>
    </row>
    <row r="348" spans="2:18">
      <c r="B348" s="85"/>
      <c r="C348" s="85"/>
      <c r="E348" s="86"/>
      <c r="N348" s="83"/>
      <c r="R348" s="84"/>
    </row>
    <row r="349" spans="2:18">
      <c r="B349" s="85"/>
      <c r="C349" s="85"/>
      <c r="E349" s="86"/>
      <c r="N349" s="83"/>
      <c r="R349" s="84"/>
    </row>
    <row r="350" spans="2:18">
      <c r="B350" s="85"/>
      <c r="C350" s="85"/>
      <c r="E350" s="86"/>
      <c r="N350" s="83"/>
      <c r="R350" s="84"/>
    </row>
    <row r="351" spans="2:18">
      <c r="B351" s="85"/>
      <c r="C351" s="85"/>
      <c r="E351" s="86"/>
      <c r="N351" s="83"/>
      <c r="R351" s="84"/>
    </row>
    <row r="352" spans="2:18">
      <c r="B352" s="85"/>
      <c r="C352" s="85"/>
      <c r="E352" s="86"/>
      <c r="N352" s="83"/>
      <c r="R352" s="84"/>
    </row>
    <row r="353" spans="2:18">
      <c r="B353" s="85"/>
      <c r="C353" s="85"/>
      <c r="E353" s="86"/>
      <c r="N353" s="83"/>
      <c r="R353" s="84"/>
    </row>
    <row r="354" spans="2:18">
      <c r="B354" s="85"/>
      <c r="C354" s="85"/>
      <c r="E354" s="86"/>
      <c r="N354" s="83"/>
      <c r="R354" s="84"/>
    </row>
    <row r="355" spans="2:18">
      <c r="B355" s="85"/>
      <c r="C355" s="85"/>
      <c r="E355" s="86"/>
      <c r="N355" s="83"/>
      <c r="R355" s="84"/>
    </row>
    <row r="356" spans="2:18">
      <c r="B356" s="85"/>
      <c r="C356" s="85"/>
      <c r="E356" s="86"/>
      <c r="N356" s="83"/>
      <c r="R356" s="84"/>
    </row>
    <row r="357" spans="2:18">
      <c r="B357" s="85"/>
      <c r="C357" s="85"/>
      <c r="E357" s="86"/>
      <c r="N357" s="83"/>
      <c r="R357" s="84"/>
    </row>
    <row r="358" spans="2:18">
      <c r="B358" s="85"/>
      <c r="C358" s="85"/>
      <c r="E358" s="86"/>
      <c r="N358" s="83"/>
      <c r="R358" s="84"/>
    </row>
    <row r="359" spans="2:18">
      <c r="B359" s="85"/>
      <c r="C359" s="85"/>
      <c r="E359" s="86"/>
      <c r="N359" s="83"/>
      <c r="R359" s="84"/>
    </row>
    <row r="360" spans="2:18">
      <c r="B360" s="85"/>
      <c r="C360" s="85"/>
      <c r="E360" s="86"/>
      <c r="N360" s="83"/>
      <c r="R360" s="84"/>
    </row>
    <row r="361" spans="2:18">
      <c r="B361" s="85"/>
      <c r="C361" s="85"/>
      <c r="E361" s="86"/>
      <c r="N361" s="83"/>
      <c r="R361" s="84"/>
    </row>
    <row r="362" spans="2:18">
      <c r="B362" s="85"/>
      <c r="C362" s="85"/>
      <c r="E362" s="86"/>
      <c r="N362" s="83"/>
      <c r="R362" s="84"/>
    </row>
    <row r="363" spans="2:18">
      <c r="B363" s="85"/>
      <c r="C363" s="85"/>
      <c r="E363" s="86"/>
      <c r="N363" s="83"/>
      <c r="R363" s="84"/>
    </row>
    <row r="364" spans="2:18">
      <c r="B364" s="85"/>
      <c r="C364" s="85"/>
      <c r="E364" s="86"/>
      <c r="N364" s="83"/>
      <c r="R364" s="84"/>
    </row>
    <row r="365" spans="2:18">
      <c r="B365" s="85"/>
      <c r="C365" s="85"/>
      <c r="E365" s="86"/>
      <c r="N365" s="83"/>
      <c r="R365" s="84"/>
    </row>
    <row r="366" spans="2:18">
      <c r="B366" s="85"/>
      <c r="C366" s="85"/>
      <c r="E366" s="86"/>
      <c r="N366" s="83"/>
      <c r="R366" s="84"/>
    </row>
    <row r="367" spans="2:18">
      <c r="B367" s="85"/>
      <c r="C367" s="85"/>
      <c r="E367" s="86"/>
      <c r="N367" s="83"/>
      <c r="R367" s="84"/>
    </row>
    <row r="368" spans="2:18">
      <c r="B368" s="85"/>
      <c r="C368" s="85"/>
      <c r="E368" s="86"/>
      <c r="N368" s="83"/>
      <c r="R368" s="84"/>
    </row>
    <row r="369" spans="2:18">
      <c r="B369" s="85"/>
      <c r="C369" s="85"/>
      <c r="E369" s="86"/>
      <c r="N369" s="83"/>
      <c r="R369" s="84"/>
    </row>
    <row r="370" spans="2:18">
      <c r="B370" s="85"/>
      <c r="C370" s="85"/>
      <c r="E370" s="86"/>
      <c r="N370" s="83"/>
      <c r="R370" s="84"/>
    </row>
    <row r="371" spans="2:18">
      <c r="B371" s="85"/>
      <c r="C371" s="85"/>
      <c r="E371" s="86"/>
      <c r="N371" s="83"/>
      <c r="R371" s="84"/>
    </row>
    <row r="372" spans="2:18">
      <c r="B372" s="85"/>
      <c r="C372" s="85"/>
      <c r="E372" s="86"/>
      <c r="N372" s="83"/>
      <c r="R372" s="84"/>
    </row>
    <row r="373" spans="2:18">
      <c r="B373" s="85"/>
      <c r="C373" s="85"/>
      <c r="E373" s="86"/>
      <c r="N373" s="83"/>
      <c r="R373" s="84"/>
    </row>
    <row r="374" spans="2:18">
      <c r="B374" s="85"/>
      <c r="C374" s="85"/>
      <c r="E374" s="86"/>
      <c r="N374" s="83"/>
      <c r="R374" s="84"/>
    </row>
    <row r="375" spans="2:18">
      <c r="B375" s="85"/>
      <c r="C375" s="85"/>
      <c r="E375" s="86"/>
      <c r="N375" s="83"/>
      <c r="R375" s="84"/>
    </row>
    <row r="376" spans="2:18">
      <c r="B376" s="85"/>
      <c r="C376" s="85"/>
      <c r="E376" s="86"/>
      <c r="N376" s="83"/>
      <c r="R376" s="84"/>
    </row>
    <row r="377" spans="2:18">
      <c r="B377" s="85"/>
      <c r="C377" s="85"/>
      <c r="E377" s="86"/>
      <c r="N377" s="83"/>
      <c r="R377" s="84"/>
    </row>
    <row r="378" spans="2:18">
      <c r="B378" s="85"/>
      <c r="C378" s="85"/>
      <c r="E378" s="86"/>
      <c r="N378" s="83"/>
      <c r="R378" s="84"/>
    </row>
    <row r="379" spans="2:18">
      <c r="B379" s="85"/>
      <c r="C379" s="85"/>
      <c r="E379" s="86"/>
      <c r="N379" s="83"/>
      <c r="R379" s="84"/>
    </row>
    <row r="380" spans="2:18">
      <c r="B380" s="85"/>
      <c r="C380" s="85"/>
      <c r="E380" s="86"/>
      <c r="N380" s="83"/>
      <c r="R380" s="84"/>
    </row>
    <row r="381" spans="2:18">
      <c r="B381" s="85"/>
      <c r="C381" s="85"/>
      <c r="E381" s="86"/>
      <c r="N381" s="83"/>
      <c r="R381" s="84"/>
    </row>
    <row r="382" spans="2:18">
      <c r="B382" s="85"/>
      <c r="C382" s="85"/>
      <c r="E382" s="86"/>
      <c r="N382" s="83"/>
      <c r="R382" s="84"/>
    </row>
    <row r="383" spans="2:18">
      <c r="B383" s="85"/>
      <c r="C383" s="85"/>
      <c r="E383" s="86"/>
      <c r="N383" s="83"/>
      <c r="R383" s="84"/>
    </row>
    <row r="384" spans="2:18">
      <c r="B384" s="85"/>
      <c r="C384" s="85"/>
      <c r="E384" s="86"/>
      <c r="N384" s="83"/>
      <c r="R384" s="84"/>
    </row>
    <row r="385" spans="2:18">
      <c r="B385" s="85"/>
      <c r="C385" s="85"/>
      <c r="E385" s="86"/>
      <c r="N385" s="83"/>
      <c r="R385" s="84"/>
    </row>
    <row r="386" spans="2:18">
      <c r="B386" s="85"/>
      <c r="C386" s="85"/>
      <c r="E386" s="86"/>
      <c r="N386" s="83"/>
      <c r="R386" s="84"/>
    </row>
    <row r="387" spans="2:18">
      <c r="B387" s="85"/>
      <c r="C387" s="85"/>
      <c r="E387" s="86"/>
      <c r="N387" s="83"/>
      <c r="R387" s="84"/>
    </row>
    <row r="388" spans="2:18">
      <c r="B388" s="85"/>
      <c r="C388" s="85"/>
      <c r="E388" s="86"/>
      <c r="N388" s="83"/>
      <c r="R388" s="84"/>
    </row>
    <row r="389" spans="2:18">
      <c r="B389" s="85"/>
      <c r="C389" s="85"/>
      <c r="E389" s="86"/>
      <c r="N389" s="83"/>
      <c r="R389" s="84"/>
    </row>
    <row r="390" spans="2:18">
      <c r="B390" s="85"/>
      <c r="C390" s="85"/>
      <c r="E390" s="86"/>
      <c r="N390" s="83"/>
      <c r="R390" s="84"/>
    </row>
    <row r="391" spans="2:18">
      <c r="B391" s="85"/>
      <c r="C391" s="85"/>
      <c r="E391" s="86"/>
      <c r="N391" s="83"/>
      <c r="R391" s="84"/>
    </row>
    <row r="392" spans="2:18">
      <c r="B392" s="85"/>
      <c r="C392" s="85"/>
      <c r="E392" s="86"/>
      <c r="N392" s="83"/>
      <c r="R392" s="84"/>
    </row>
    <row r="393" spans="2:18">
      <c r="B393" s="85"/>
      <c r="C393" s="85"/>
      <c r="E393" s="86"/>
      <c r="N393" s="83"/>
      <c r="R393" s="84"/>
    </row>
    <row r="394" spans="2:18">
      <c r="B394" s="85"/>
      <c r="C394" s="85"/>
      <c r="E394" s="86"/>
      <c r="N394" s="83"/>
      <c r="R394" s="84"/>
    </row>
    <row r="395" spans="2:18">
      <c r="B395" s="85"/>
      <c r="C395" s="85"/>
      <c r="E395" s="86"/>
      <c r="N395" s="83"/>
      <c r="R395" s="84"/>
    </row>
    <row r="396" spans="2:18">
      <c r="B396" s="85"/>
      <c r="C396" s="85"/>
      <c r="E396" s="86"/>
      <c r="N396" s="83"/>
      <c r="R396" s="84"/>
    </row>
    <row r="397" spans="2:18">
      <c r="B397" s="85"/>
      <c r="C397" s="85"/>
      <c r="E397" s="86"/>
      <c r="N397" s="83"/>
      <c r="R397" s="84"/>
    </row>
    <row r="398" spans="2:18">
      <c r="B398" s="85"/>
      <c r="C398" s="85"/>
      <c r="E398" s="86"/>
      <c r="N398" s="83"/>
      <c r="R398" s="84"/>
    </row>
    <row r="399" spans="2:18">
      <c r="B399" s="85"/>
      <c r="C399" s="85"/>
      <c r="E399" s="86"/>
      <c r="N399" s="83"/>
      <c r="R399" s="84"/>
    </row>
    <row r="400" spans="2:18">
      <c r="B400" s="85"/>
      <c r="C400" s="85"/>
      <c r="E400" s="86"/>
      <c r="N400" s="83"/>
      <c r="R400" s="84"/>
    </row>
    <row r="401" spans="2:18">
      <c r="B401" s="85"/>
      <c r="C401" s="85"/>
      <c r="E401" s="86"/>
      <c r="N401" s="83"/>
      <c r="R401" s="84"/>
    </row>
    <row r="402" spans="2:18">
      <c r="B402" s="85"/>
      <c r="C402" s="85"/>
      <c r="E402" s="86"/>
      <c r="N402" s="83"/>
      <c r="R402" s="84"/>
    </row>
    <row r="403" spans="2:18">
      <c r="B403" s="85"/>
      <c r="C403" s="85"/>
      <c r="E403" s="86"/>
      <c r="N403" s="83"/>
      <c r="R403" s="84"/>
    </row>
    <row r="404" spans="2:18">
      <c r="B404" s="85"/>
      <c r="C404" s="85"/>
      <c r="E404" s="86"/>
      <c r="N404" s="83"/>
      <c r="R404" s="84"/>
    </row>
    <row r="405" spans="2:18">
      <c r="B405" s="85"/>
      <c r="C405" s="85"/>
      <c r="E405" s="86"/>
      <c r="N405" s="83"/>
      <c r="R405" s="84"/>
    </row>
    <row r="406" spans="2:18">
      <c r="B406" s="85"/>
      <c r="C406" s="85"/>
      <c r="E406" s="86"/>
      <c r="N406" s="83"/>
      <c r="R406" s="84"/>
    </row>
    <row r="407" spans="2:18">
      <c r="B407" s="85"/>
      <c r="C407" s="85"/>
      <c r="E407" s="86"/>
      <c r="N407" s="83"/>
      <c r="R407" s="84"/>
    </row>
    <row r="408" spans="2:18">
      <c r="B408" s="85"/>
      <c r="C408" s="85"/>
      <c r="E408" s="86"/>
      <c r="N408" s="83"/>
      <c r="R408" s="84"/>
    </row>
    <row r="409" spans="2:18">
      <c r="B409" s="85"/>
      <c r="C409" s="85"/>
      <c r="E409" s="86"/>
      <c r="N409" s="83"/>
      <c r="R409" s="84"/>
    </row>
    <row r="410" spans="2:18">
      <c r="B410" s="85"/>
      <c r="C410" s="85"/>
      <c r="E410" s="86"/>
      <c r="N410" s="83"/>
      <c r="R410" s="84"/>
    </row>
    <row r="411" spans="2:18">
      <c r="B411" s="85"/>
      <c r="C411" s="85"/>
      <c r="E411" s="86"/>
      <c r="N411" s="83"/>
      <c r="R411" s="84"/>
    </row>
    <row r="412" spans="2:18">
      <c r="B412" s="85"/>
      <c r="C412" s="85"/>
      <c r="E412" s="86"/>
      <c r="N412" s="83"/>
      <c r="R412" s="84"/>
    </row>
    <row r="413" spans="2:18">
      <c r="B413" s="85"/>
      <c r="C413" s="85"/>
      <c r="E413" s="86"/>
      <c r="N413" s="83"/>
      <c r="R413" s="84"/>
    </row>
    <row r="414" spans="2:18">
      <c r="B414" s="85"/>
      <c r="C414" s="85"/>
      <c r="E414" s="86"/>
      <c r="N414" s="83"/>
      <c r="R414" s="84"/>
    </row>
    <row r="415" spans="2:18">
      <c r="B415" s="85"/>
      <c r="C415" s="85"/>
      <c r="E415" s="86"/>
      <c r="N415" s="83"/>
      <c r="R415" s="84"/>
    </row>
    <row r="416" spans="2:18">
      <c r="B416" s="85"/>
      <c r="C416" s="85"/>
      <c r="E416" s="86"/>
      <c r="N416" s="83"/>
      <c r="R416" s="84"/>
    </row>
    <row r="417" spans="2:18">
      <c r="B417" s="85"/>
      <c r="C417" s="85"/>
      <c r="E417" s="86"/>
      <c r="N417" s="83"/>
      <c r="R417" s="84"/>
    </row>
    <row r="418" spans="2:18">
      <c r="B418" s="85"/>
      <c r="C418" s="85"/>
      <c r="E418" s="86"/>
      <c r="N418" s="83"/>
      <c r="R418" s="84"/>
    </row>
    <row r="419" spans="2:18">
      <c r="B419" s="85"/>
      <c r="C419" s="85"/>
      <c r="E419" s="86"/>
      <c r="N419" s="83"/>
      <c r="R419" s="84"/>
    </row>
    <row r="420" spans="2:18">
      <c r="B420" s="85"/>
      <c r="C420" s="85"/>
      <c r="E420" s="86"/>
      <c r="N420" s="83"/>
      <c r="R420" s="84"/>
    </row>
    <row r="421" spans="2:18">
      <c r="B421" s="85"/>
      <c r="C421" s="85"/>
      <c r="E421" s="86"/>
      <c r="N421" s="83"/>
      <c r="R421" s="84"/>
    </row>
    <row r="422" spans="2:18">
      <c r="B422" s="85"/>
      <c r="C422" s="85"/>
      <c r="E422" s="86"/>
      <c r="N422" s="83"/>
      <c r="R422" s="84"/>
    </row>
    <row r="423" spans="2:18">
      <c r="B423" s="85"/>
      <c r="C423" s="85"/>
      <c r="E423" s="86"/>
      <c r="N423" s="83"/>
      <c r="R423" s="84"/>
    </row>
    <row r="424" spans="2:18">
      <c r="B424" s="85"/>
      <c r="C424" s="85"/>
      <c r="E424" s="86"/>
      <c r="N424" s="83"/>
      <c r="R424" s="84"/>
    </row>
    <row r="425" spans="2:18">
      <c r="B425" s="85"/>
      <c r="C425" s="85"/>
      <c r="E425" s="86"/>
      <c r="N425" s="83"/>
      <c r="R425" s="84"/>
    </row>
    <row r="426" spans="2:18">
      <c r="B426" s="85"/>
      <c r="C426" s="85"/>
      <c r="E426" s="86"/>
      <c r="N426" s="83"/>
      <c r="R426" s="84"/>
    </row>
    <row r="427" spans="2:18">
      <c r="B427" s="85"/>
      <c r="C427" s="85"/>
      <c r="E427" s="86"/>
      <c r="N427" s="83"/>
      <c r="R427" s="84"/>
    </row>
    <row r="428" spans="2:18">
      <c r="B428" s="85"/>
      <c r="C428" s="85"/>
      <c r="E428" s="86"/>
      <c r="N428" s="83"/>
      <c r="R428" s="84"/>
    </row>
    <row r="429" spans="2:18">
      <c r="B429" s="85"/>
      <c r="C429" s="85"/>
      <c r="E429" s="86"/>
      <c r="N429" s="83"/>
      <c r="R429" s="84"/>
    </row>
    <row r="430" spans="2:18">
      <c r="B430" s="85"/>
      <c r="C430" s="85"/>
      <c r="E430" s="86"/>
      <c r="N430" s="83"/>
      <c r="R430" s="84"/>
    </row>
    <row r="431" spans="2:18">
      <c r="B431" s="85"/>
      <c r="C431" s="85"/>
      <c r="E431" s="86"/>
      <c r="N431" s="83"/>
      <c r="R431" s="84"/>
    </row>
    <row r="432" spans="2:18">
      <c r="B432" s="85"/>
      <c r="C432" s="85"/>
      <c r="E432" s="86"/>
      <c r="N432" s="83"/>
      <c r="R432" s="84"/>
    </row>
    <row r="433" spans="2:18">
      <c r="B433" s="85"/>
      <c r="C433" s="85"/>
      <c r="E433" s="86"/>
      <c r="N433" s="83"/>
      <c r="R433" s="84"/>
    </row>
    <row r="434" spans="2:18">
      <c r="B434" s="85"/>
      <c r="C434" s="85"/>
      <c r="E434" s="86"/>
      <c r="N434" s="83"/>
      <c r="R434" s="84"/>
    </row>
    <row r="435" spans="2:18">
      <c r="B435" s="85"/>
      <c r="C435" s="85"/>
      <c r="E435" s="86"/>
      <c r="N435" s="83"/>
      <c r="R435" s="84"/>
    </row>
    <row r="436" spans="2:18">
      <c r="B436" s="85"/>
      <c r="C436" s="85"/>
      <c r="E436" s="86"/>
      <c r="N436" s="83"/>
      <c r="R436" s="84"/>
    </row>
    <row r="437" spans="2:18">
      <c r="B437" s="85"/>
      <c r="C437" s="85"/>
      <c r="E437" s="86"/>
      <c r="N437" s="83"/>
      <c r="R437" s="84"/>
    </row>
    <row r="438" spans="2:18">
      <c r="B438" s="85"/>
      <c r="C438" s="85"/>
      <c r="E438" s="86"/>
      <c r="N438" s="83"/>
      <c r="R438" s="84"/>
    </row>
    <row r="439" spans="2:18">
      <c r="B439" s="85"/>
      <c r="C439" s="85"/>
      <c r="E439" s="86"/>
      <c r="N439" s="83"/>
      <c r="R439" s="84"/>
    </row>
    <row r="440" spans="2:18">
      <c r="B440" s="85"/>
      <c r="C440" s="85"/>
      <c r="E440" s="86"/>
      <c r="N440" s="83"/>
      <c r="R440" s="84"/>
    </row>
    <row r="441" spans="2:18">
      <c r="B441" s="85"/>
      <c r="C441" s="85"/>
      <c r="E441" s="86"/>
      <c r="N441" s="83"/>
      <c r="R441" s="84"/>
    </row>
    <row r="442" spans="2:18">
      <c r="B442" s="85"/>
      <c r="C442" s="85"/>
      <c r="E442" s="86"/>
      <c r="N442" s="83"/>
      <c r="R442" s="84"/>
    </row>
    <row r="443" spans="2:18">
      <c r="B443" s="85"/>
      <c r="C443" s="85"/>
      <c r="E443" s="86"/>
      <c r="N443" s="83"/>
      <c r="R443" s="84"/>
    </row>
    <row r="444" spans="2:18">
      <c r="B444" s="85"/>
      <c r="C444" s="85"/>
      <c r="E444" s="86"/>
      <c r="N444" s="83"/>
      <c r="R444" s="84"/>
    </row>
    <row r="445" spans="2:18">
      <c r="B445" s="85"/>
      <c r="C445" s="85"/>
      <c r="E445" s="86"/>
      <c r="N445" s="83"/>
      <c r="R445" s="84"/>
    </row>
    <row r="446" spans="2:18">
      <c r="B446" s="85"/>
      <c r="C446" s="85"/>
      <c r="E446" s="86"/>
      <c r="N446" s="83"/>
      <c r="R446" s="84"/>
    </row>
    <row r="447" spans="2:18">
      <c r="B447" s="85"/>
      <c r="C447" s="85"/>
      <c r="E447" s="86"/>
      <c r="N447" s="83"/>
      <c r="R447" s="84"/>
    </row>
    <row r="448" spans="2:18">
      <c r="B448" s="85"/>
      <c r="C448" s="85"/>
      <c r="E448" s="86"/>
      <c r="N448" s="83"/>
      <c r="R448" s="84"/>
    </row>
    <row r="449" spans="2:18">
      <c r="B449" s="85"/>
      <c r="C449" s="85"/>
      <c r="E449" s="86"/>
      <c r="N449" s="83"/>
      <c r="R449" s="84"/>
    </row>
    <row r="450" spans="2:18">
      <c r="B450" s="85"/>
      <c r="C450" s="85"/>
      <c r="E450" s="86"/>
      <c r="N450" s="83"/>
      <c r="R450" s="84"/>
    </row>
    <row r="451" spans="2:18">
      <c r="B451" s="85"/>
      <c r="C451" s="85"/>
      <c r="E451" s="86"/>
      <c r="N451" s="83"/>
      <c r="R451" s="84"/>
    </row>
    <row r="452" spans="2:18">
      <c r="B452" s="85"/>
      <c r="C452" s="85"/>
      <c r="E452" s="86"/>
      <c r="N452" s="83"/>
      <c r="R452" s="84"/>
    </row>
    <row r="453" spans="2:18">
      <c r="B453" s="85"/>
      <c r="C453" s="85"/>
      <c r="E453" s="86"/>
      <c r="N453" s="83"/>
      <c r="R453" s="84"/>
    </row>
    <row r="454" spans="2:18">
      <c r="B454" s="85"/>
      <c r="C454" s="85"/>
      <c r="E454" s="86"/>
      <c r="N454" s="83"/>
      <c r="R454" s="84"/>
    </row>
    <row r="455" spans="2:18">
      <c r="B455" s="85"/>
      <c r="C455" s="85"/>
      <c r="E455" s="86"/>
      <c r="N455" s="83"/>
      <c r="R455" s="84"/>
    </row>
    <row r="456" spans="2:18">
      <c r="B456" s="85"/>
      <c r="C456" s="85"/>
      <c r="E456" s="86"/>
      <c r="N456" s="83"/>
      <c r="R456" s="84"/>
    </row>
    <row r="457" spans="2:18">
      <c r="B457" s="85"/>
      <c r="C457" s="85"/>
      <c r="E457" s="86"/>
      <c r="N457" s="83"/>
      <c r="R457" s="84"/>
    </row>
    <row r="458" spans="2:18">
      <c r="B458" s="85"/>
      <c r="C458" s="85"/>
      <c r="E458" s="86"/>
      <c r="N458" s="83"/>
      <c r="R458" s="84"/>
    </row>
    <row r="459" spans="2:18">
      <c r="B459" s="85"/>
      <c r="C459" s="85"/>
      <c r="E459" s="86"/>
      <c r="N459" s="83"/>
      <c r="R459" s="84"/>
    </row>
    <row r="460" spans="2:18">
      <c r="B460" s="85"/>
      <c r="C460" s="85"/>
      <c r="E460" s="86"/>
      <c r="N460" s="83"/>
      <c r="R460" s="84"/>
    </row>
    <row r="461" spans="2:18">
      <c r="B461" s="85"/>
      <c r="C461" s="85"/>
      <c r="E461" s="86"/>
      <c r="N461" s="83"/>
      <c r="R461" s="84"/>
    </row>
    <row r="462" spans="2:18">
      <c r="B462" s="85"/>
      <c r="C462" s="85"/>
      <c r="E462" s="86"/>
      <c r="N462" s="83"/>
      <c r="R462" s="84"/>
    </row>
    <row r="463" spans="2:18">
      <c r="B463" s="85"/>
      <c r="C463" s="85"/>
      <c r="E463" s="86"/>
      <c r="N463" s="83"/>
      <c r="R463" s="84"/>
    </row>
    <row r="464" spans="2:18">
      <c r="B464" s="85"/>
      <c r="C464" s="85"/>
      <c r="E464" s="86"/>
      <c r="N464" s="83"/>
      <c r="R464" s="84"/>
    </row>
    <row r="465" spans="2:18">
      <c r="B465" s="85"/>
      <c r="C465" s="85"/>
      <c r="E465" s="86"/>
      <c r="N465" s="83"/>
      <c r="R465" s="84"/>
    </row>
    <row r="466" spans="2:18">
      <c r="B466" s="85"/>
      <c r="C466" s="85"/>
      <c r="E466" s="86"/>
      <c r="N466" s="83"/>
      <c r="R466" s="84"/>
    </row>
    <row r="467" spans="2:18">
      <c r="B467" s="85"/>
      <c r="C467" s="85"/>
      <c r="E467" s="86"/>
      <c r="N467" s="83"/>
      <c r="R467" s="84"/>
    </row>
    <row r="468" spans="2:18">
      <c r="B468" s="85"/>
      <c r="C468" s="85"/>
      <c r="E468" s="86"/>
      <c r="N468" s="83"/>
      <c r="R468" s="84"/>
    </row>
    <row r="469" spans="2:18">
      <c r="B469" s="85"/>
      <c r="C469" s="85"/>
      <c r="E469" s="86"/>
      <c r="N469" s="83"/>
      <c r="R469" s="84"/>
    </row>
    <row r="470" spans="2:18">
      <c r="B470" s="85"/>
      <c r="C470" s="85"/>
      <c r="E470" s="86"/>
      <c r="N470" s="83"/>
      <c r="R470" s="84"/>
    </row>
    <row r="471" spans="2:18">
      <c r="B471" s="85"/>
      <c r="C471" s="85"/>
      <c r="E471" s="86"/>
      <c r="N471" s="83"/>
      <c r="R471" s="84"/>
    </row>
    <row r="472" spans="2:18">
      <c r="B472" s="85"/>
      <c r="C472" s="85"/>
      <c r="E472" s="86"/>
      <c r="N472" s="83"/>
      <c r="R472" s="84"/>
    </row>
    <row r="473" spans="2:18">
      <c r="B473" s="85"/>
      <c r="C473" s="85"/>
      <c r="E473" s="86"/>
      <c r="N473" s="83"/>
      <c r="R473" s="84"/>
    </row>
    <row r="474" spans="2:18">
      <c r="B474" s="85"/>
      <c r="C474" s="85"/>
      <c r="E474" s="86"/>
      <c r="N474" s="83"/>
      <c r="R474" s="84"/>
    </row>
    <row r="475" spans="2:18">
      <c r="B475" s="85"/>
      <c r="C475" s="85"/>
      <c r="E475" s="86"/>
      <c r="N475" s="83"/>
      <c r="R475" s="84"/>
    </row>
    <row r="476" spans="2:18">
      <c r="B476" s="85"/>
      <c r="C476" s="85"/>
      <c r="E476" s="86"/>
      <c r="N476" s="83"/>
      <c r="R476" s="84"/>
    </row>
    <row r="477" spans="2:18">
      <c r="B477" s="85"/>
      <c r="C477" s="85"/>
      <c r="E477" s="86"/>
      <c r="N477" s="83"/>
      <c r="R477" s="84"/>
    </row>
    <row r="478" spans="2:18">
      <c r="B478" s="85"/>
      <c r="C478" s="85"/>
      <c r="E478" s="86"/>
      <c r="N478" s="83"/>
      <c r="R478" s="84"/>
    </row>
    <row r="479" spans="2:18">
      <c r="B479" s="85"/>
      <c r="C479" s="85"/>
      <c r="E479" s="86"/>
      <c r="N479" s="83"/>
      <c r="R479" s="84"/>
    </row>
    <row r="480" spans="2:18">
      <c r="B480" s="85"/>
      <c r="C480" s="85"/>
      <c r="E480" s="86"/>
      <c r="N480" s="83"/>
      <c r="R480" s="84"/>
    </row>
    <row r="481" spans="2:18">
      <c r="B481" s="85"/>
      <c r="C481" s="85"/>
      <c r="E481" s="86"/>
      <c r="N481" s="83"/>
      <c r="R481" s="84"/>
    </row>
    <row r="482" spans="2:18">
      <c r="B482" s="85"/>
      <c r="C482" s="85"/>
      <c r="E482" s="86"/>
      <c r="N482" s="83"/>
      <c r="R482" s="84"/>
    </row>
    <row r="483" spans="2:18">
      <c r="B483" s="85"/>
      <c r="C483" s="85"/>
      <c r="E483" s="86"/>
      <c r="N483" s="83"/>
      <c r="R483" s="84"/>
    </row>
    <row r="484" spans="2:18">
      <c r="B484" s="85"/>
      <c r="C484" s="85"/>
      <c r="E484" s="86"/>
      <c r="N484" s="83"/>
      <c r="R484" s="84"/>
    </row>
    <row r="485" spans="2:18">
      <c r="B485" s="85"/>
      <c r="C485" s="85"/>
      <c r="E485" s="86"/>
      <c r="N485" s="83"/>
      <c r="R485" s="84"/>
    </row>
    <row r="486" spans="2:18">
      <c r="B486" s="85"/>
      <c r="C486" s="85"/>
      <c r="E486" s="86"/>
      <c r="N486" s="83"/>
      <c r="R486" s="84"/>
    </row>
    <row r="487" spans="2:18">
      <c r="B487" s="85"/>
      <c r="C487" s="85"/>
      <c r="E487" s="86"/>
      <c r="N487" s="83"/>
      <c r="R487" s="84"/>
    </row>
    <row r="488" spans="2:18">
      <c r="B488" s="85"/>
      <c r="C488" s="85"/>
      <c r="E488" s="86"/>
      <c r="N488" s="83"/>
      <c r="R488" s="84"/>
    </row>
    <row r="489" spans="2:18">
      <c r="B489" s="85"/>
      <c r="C489" s="85"/>
      <c r="E489" s="86"/>
      <c r="N489" s="83"/>
      <c r="R489" s="84"/>
    </row>
    <row r="490" spans="2:18">
      <c r="B490" s="85"/>
      <c r="C490" s="85"/>
      <c r="E490" s="86"/>
      <c r="N490" s="83"/>
      <c r="R490" s="84"/>
    </row>
    <row r="491" spans="2:18">
      <c r="B491" s="85"/>
      <c r="C491" s="85"/>
      <c r="E491" s="86"/>
      <c r="N491" s="83"/>
      <c r="R491" s="84"/>
    </row>
    <row r="492" spans="2:18">
      <c r="B492" s="85"/>
      <c r="C492" s="85"/>
      <c r="E492" s="86"/>
      <c r="N492" s="83"/>
      <c r="R492" s="84"/>
    </row>
    <row r="493" spans="2:18">
      <c r="B493" s="85"/>
      <c r="C493" s="85"/>
      <c r="E493" s="86"/>
      <c r="N493" s="83"/>
      <c r="R493" s="84"/>
    </row>
    <row r="494" spans="2:18">
      <c r="B494" s="85"/>
      <c r="C494" s="85"/>
      <c r="E494" s="86"/>
      <c r="N494" s="83"/>
      <c r="R494" s="84"/>
    </row>
    <row r="495" spans="2:18">
      <c r="B495" s="85"/>
      <c r="C495" s="85"/>
      <c r="E495" s="86"/>
      <c r="N495" s="83"/>
      <c r="R495" s="84"/>
    </row>
    <row r="496" spans="2:18">
      <c r="B496" s="85"/>
      <c r="C496" s="85"/>
      <c r="E496" s="86"/>
      <c r="N496" s="83"/>
      <c r="R496" s="84"/>
    </row>
    <row r="497" spans="2:18">
      <c r="B497" s="85"/>
      <c r="C497" s="85"/>
      <c r="E497" s="86"/>
      <c r="N497" s="83"/>
      <c r="R497" s="84"/>
    </row>
    <row r="498" spans="2:18">
      <c r="B498" s="85"/>
      <c r="C498" s="85"/>
      <c r="E498" s="86"/>
      <c r="N498" s="83"/>
      <c r="R498" s="84"/>
    </row>
    <row r="499" spans="2:18">
      <c r="B499" s="85"/>
      <c r="C499" s="85"/>
      <c r="E499" s="86"/>
      <c r="N499" s="83"/>
      <c r="R499" s="84"/>
    </row>
    <row r="500" spans="2:18">
      <c r="B500" s="85"/>
      <c r="C500" s="85"/>
      <c r="E500" s="86"/>
      <c r="N500" s="83"/>
      <c r="R500" s="84"/>
    </row>
    <row r="501" spans="2:18">
      <c r="B501" s="85"/>
      <c r="C501" s="85"/>
      <c r="E501" s="86"/>
      <c r="N501" s="83"/>
      <c r="R501" s="84"/>
    </row>
    <row r="502" spans="2:18">
      <c r="B502" s="85"/>
      <c r="C502" s="85"/>
      <c r="E502" s="86"/>
      <c r="N502" s="83"/>
      <c r="R502" s="84"/>
    </row>
    <row r="503" spans="2:18">
      <c r="B503" s="85"/>
      <c r="C503" s="85"/>
      <c r="E503" s="86"/>
      <c r="N503" s="83"/>
      <c r="R503" s="84"/>
    </row>
    <row r="504" spans="2:18">
      <c r="B504" s="85"/>
      <c r="C504" s="85"/>
      <c r="E504" s="86"/>
      <c r="N504" s="83"/>
      <c r="R504" s="84"/>
    </row>
    <row r="505" spans="2:18">
      <c r="B505" s="85"/>
      <c r="C505" s="85"/>
      <c r="E505" s="86"/>
      <c r="N505" s="83"/>
      <c r="R505" s="84"/>
    </row>
    <row r="506" spans="2:18">
      <c r="B506" s="85"/>
      <c r="C506" s="85"/>
      <c r="E506" s="86"/>
      <c r="N506" s="83"/>
      <c r="R506" s="84"/>
    </row>
    <row r="507" spans="2:18">
      <c r="B507" s="85"/>
      <c r="C507" s="85"/>
      <c r="E507" s="86"/>
      <c r="N507" s="83"/>
      <c r="R507" s="84"/>
    </row>
    <row r="508" spans="2:18">
      <c r="B508" s="85"/>
      <c r="C508" s="85"/>
      <c r="E508" s="86"/>
      <c r="N508" s="83"/>
      <c r="R508" s="84"/>
    </row>
    <row r="509" spans="2:18">
      <c r="B509" s="85"/>
      <c r="C509" s="85"/>
      <c r="E509" s="86"/>
      <c r="N509" s="83"/>
      <c r="R509" s="84"/>
    </row>
    <row r="510" spans="2:18">
      <c r="B510" s="85"/>
      <c r="C510" s="85"/>
      <c r="E510" s="86"/>
      <c r="N510" s="83"/>
      <c r="R510" s="84"/>
    </row>
    <row r="511" spans="2:18">
      <c r="B511" s="85"/>
      <c r="C511" s="85"/>
      <c r="E511" s="86"/>
      <c r="N511" s="83"/>
      <c r="R511" s="84"/>
    </row>
    <row r="512" spans="2:18">
      <c r="B512" s="85"/>
      <c r="C512" s="85"/>
      <c r="E512" s="86"/>
      <c r="N512" s="83"/>
      <c r="R512" s="84"/>
    </row>
    <row r="513" spans="2:18">
      <c r="B513" s="85"/>
      <c r="C513" s="85"/>
      <c r="E513" s="86"/>
      <c r="N513" s="83"/>
      <c r="R513" s="84"/>
    </row>
    <row r="514" spans="2:18">
      <c r="B514" s="85"/>
      <c r="C514" s="85"/>
      <c r="E514" s="86"/>
      <c r="N514" s="83"/>
      <c r="R514" s="84"/>
    </row>
    <row r="515" spans="2:18">
      <c r="B515" s="85"/>
      <c r="C515" s="85"/>
      <c r="E515" s="86"/>
      <c r="N515" s="83"/>
      <c r="R515" s="84"/>
    </row>
    <row r="516" spans="2:18">
      <c r="B516" s="85"/>
      <c r="C516" s="85"/>
      <c r="E516" s="86"/>
      <c r="N516" s="83"/>
      <c r="R516" s="84"/>
    </row>
    <row r="517" spans="2:18">
      <c r="B517" s="85"/>
      <c r="C517" s="85"/>
      <c r="E517" s="86"/>
      <c r="N517" s="83"/>
      <c r="R517" s="84"/>
    </row>
    <row r="518" spans="2:18">
      <c r="B518" s="85"/>
      <c r="C518" s="85"/>
      <c r="E518" s="86"/>
      <c r="N518" s="83"/>
      <c r="R518" s="84"/>
    </row>
    <row r="519" spans="2:18">
      <c r="B519" s="85"/>
      <c r="C519" s="85"/>
      <c r="E519" s="86"/>
      <c r="N519" s="83"/>
      <c r="R519" s="84"/>
    </row>
    <row r="520" spans="2:18">
      <c r="B520" s="85"/>
      <c r="C520" s="85"/>
      <c r="E520" s="86"/>
      <c r="N520" s="83"/>
      <c r="R520" s="84"/>
    </row>
    <row r="521" spans="2:18">
      <c r="B521" s="85"/>
      <c r="C521" s="85"/>
      <c r="E521" s="86"/>
      <c r="N521" s="83"/>
      <c r="R521" s="84"/>
    </row>
    <row r="522" spans="2:18">
      <c r="B522" s="85"/>
      <c r="C522" s="85"/>
      <c r="E522" s="86"/>
      <c r="N522" s="83"/>
      <c r="R522" s="84"/>
    </row>
    <row r="523" spans="2:18">
      <c r="B523" s="85"/>
      <c r="C523" s="85"/>
      <c r="E523" s="86"/>
      <c r="N523" s="83"/>
      <c r="R523" s="84"/>
    </row>
    <row r="524" spans="2:18">
      <c r="B524" s="85"/>
      <c r="C524" s="85"/>
      <c r="E524" s="86"/>
      <c r="N524" s="83"/>
      <c r="R524" s="84"/>
    </row>
    <row r="525" spans="2:18">
      <c r="B525" s="85"/>
      <c r="C525" s="85"/>
      <c r="E525" s="86"/>
      <c r="N525" s="83"/>
      <c r="R525" s="84"/>
    </row>
    <row r="526" spans="2:18">
      <c r="B526" s="85"/>
      <c r="C526" s="85"/>
      <c r="E526" s="86"/>
      <c r="N526" s="83"/>
      <c r="R526" s="84"/>
    </row>
    <row r="527" spans="2:18">
      <c r="B527" s="85"/>
      <c r="C527" s="85"/>
      <c r="E527" s="86"/>
      <c r="N527" s="83"/>
      <c r="R527" s="84"/>
    </row>
    <row r="528" spans="2:18">
      <c r="B528" s="85"/>
      <c r="C528" s="85"/>
      <c r="E528" s="86"/>
      <c r="N528" s="83"/>
      <c r="R528" s="84"/>
    </row>
    <row r="529" spans="2:18">
      <c r="B529" s="85"/>
      <c r="C529" s="85"/>
      <c r="E529" s="86"/>
      <c r="N529" s="83"/>
      <c r="R529" s="84"/>
    </row>
    <row r="530" spans="2:18">
      <c r="B530" s="85"/>
      <c r="C530" s="85"/>
      <c r="E530" s="86"/>
      <c r="N530" s="83"/>
      <c r="R530" s="84"/>
    </row>
    <row r="531" spans="2:18">
      <c r="B531" s="85"/>
      <c r="C531" s="85"/>
      <c r="E531" s="86"/>
      <c r="N531" s="83"/>
      <c r="R531" s="84"/>
    </row>
    <row r="532" spans="2:18">
      <c r="B532" s="85"/>
      <c r="C532" s="85"/>
      <c r="E532" s="86"/>
      <c r="N532" s="83"/>
      <c r="R532" s="84"/>
    </row>
    <row r="533" spans="2:18">
      <c r="B533" s="85"/>
      <c r="C533" s="85"/>
      <c r="E533" s="86"/>
      <c r="N533" s="83"/>
      <c r="R533" s="84"/>
    </row>
    <row r="534" spans="2:18">
      <c r="B534" s="85"/>
      <c r="C534" s="85"/>
      <c r="E534" s="86"/>
      <c r="N534" s="83"/>
      <c r="R534" s="84"/>
    </row>
    <row r="535" spans="2:18">
      <c r="B535" s="85"/>
      <c r="C535" s="85"/>
      <c r="E535" s="86"/>
      <c r="N535" s="83"/>
      <c r="R535" s="84"/>
    </row>
    <row r="536" spans="2:18">
      <c r="B536" s="85"/>
      <c r="C536" s="85"/>
      <c r="E536" s="86"/>
      <c r="N536" s="83"/>
      <c r="R536" s="84"/>
    </row>
    <row r="537" spans="2:18">
      <c r="B537" s="85"/>
      <c r="C537" s="85"/>
      <c r="E537" s="86"/>
      <c r="N537" s="83"/>
      <c r="R537" s="84"/>
    </row>
    <row r="538" spans="2:18">
      <c r="B538" s="85"/>
      <c r="C538" s="85"/>
      <c r="E538" s="86"/>
      <c r="N538" s="83"/>
      <c r="R538" s="84"/>
    </row>
    <row r="539" spans="2:18">
      <c r="B539" s="85"/>
      <c r="C539" s="85"/>
      <c r="E539" s="86"/>
      <c r="N539" s="83"/>
      <c r="R539" s="84"/>
    </row>
    <row r="540" spans="2:18">
      <c r="B540" s="85"/>
      <c r="C540" s="85"/>
      <c r="E540" s="86"/>
      <c r="N540" s="83"/>
      <c r="R540" s="84"/>
    </row>
    <row r="541" spans="2:18">
      <c r="B541" s="85"/>
      <c r="C541" s="85"/>
      <c r="E541" s="86"/>
      <c r="N541" s="83"/>
      <c r="R541" s="84"/>
    </row>
    <row r="542" spans="2:18">
      <c r="B542" s="85"/>
      <c r="C542" s="85"/>
      <c r="E542" s="86"/>
      <c r="N542" s="83"/>
      <c r="R542" s="84"/>
    </row>
    <row r="543" spans="2:18">
      <c r="B543" s="85"/>
      <c r="C543" s="85"/>
      <c r="E543" s="86"/>
      <c r="N543" s="83"/>
      <c r="R543" s="84"/>
    </row>
    <row r="544" spans="2:18">
      <c r="B544" s="85"/>
      <c r="C544" s="85"/>
      <c r="E544" s="86"/>
      <c r="N544" s="83"/>
      <c r="R544" s="84"/>
    </row>
    <row r="545" spans="2:18">
      <c r="B545" s="85"/>
      <c r="C545" s="85"/>
      <c r="E545" s="86"/>
      <c r="N545" s="83"/>
      <c r="R545" s="84"/>
    </row>
    <row r="546" spans="2:18">
      <c r="B546" s="85"/>
      <c r="C546" s="85"/>
      <c r="E546" s="86"/>
      <c r="N546" s="83"/>
      <c r="R546" s="84"/>
    </row>
    <row r="547" spans="2:18">
      <c r="B547" s="85"/>
      <c r="C547" s="85"/>
      <c r="E547" s="86"/>
      <c r="N547" s="83"/>
      <c r="R547" s="84"/>
    </row>
    <row r="548" spans="2:18">
      <c r="B548" s="85"/>
      <c r="C548" s="85"/>
      <c r="E548" s="86"/>
      <c r="N548" s="83"/>
      <c r="R548" s="84"/>
    </row>
    <row r="549" spans="2:18">
      <c r="B549" s="85"/>
      <c r="C549" s="85"/>
      <c r="E549" s="86"/>
      <c r="N549" s="83"/>
      <c r="R549" s="84"/>
    </row>
    <row r="550" spans="2:18">
      <c r="B550" s="85"/>
      <c r="C550" s="85"/>
      <c r="E550" s="86"/>
      <c r="N550" s="83"/>
      <c r="R550" s="84"/>
    </row>
    <row r="551" spans="2:18">
      <c r="B551" s="85"/>
      <c r="C551" s="85"/>
      <c r="E551" s="86"/>
      <c r="N551" s="83"/>
      <c r="R551" s="84"/>
    </row>
    <row r="552" spans="2:18">
      <c r="B552" s="85"/>
      <c r="C552" s="85"/>
      <c r="E552" s="86"/>
      <c r="N552" s="83"/>
      <c r="R552" s="84"/>
    </row>
    <row r="553" spans="2:18">
      <c r="B553" s="85"/>
      <c r="C553" s="85"/>
      <c r="E553" s="86"/>
      <c r="N553" s="83"/>
      <c r="R553" s="84"/>
    </row>
    <row r="554" spans="2:18">
      <c r="B554" s="85"/>
      <c r="C554" s="85"/>
      <c r="E554" s="86"/>
      <c r="N554" s="83"/>
      <c r="R554" s="84"/>
    </row>
    <row r="555" spans="2:18">
      <c r="B555" s="85"/>
      <c r="C555" s="85"/>
      <c r="E555" s="86"/>
      <c r="N555" s="83"/>
      <c r="R555" s="84"/>
    </row>
    <row r="556" spans="2:18">
      <c r="B556" s="85"/>
      <c r="C556" s="85"/>
      <c r="E556" s="86"/>
      <c r="N556" s="83"/>
      <c r="R556" s="84"/>
    </row>
    <row r="557" spans="2:18">
      <c r="B557" s="85"/>
      <c r="C557" s="85"/>
      <c r="E557" s="86"/>
      <c r="N557" s="83"/>
      <c r="R557" s="84"/>
    </row>
    <row r="558" spans="2:18">
      <c r="B558" s="85"/>
      <c r="C558" s="85"/>
      <c r="E558" s="86"/>
      <c r="N558" s="83"/>
      <c r="R558" s="84"/>
    </row>
    <row r="559" spans="2:18">
      <c r="B559" s="85"/>
      <c r="C559" s="85"/>
      <c r="E559" s="86"/>
      <c r="N559" s="83"/>
      <c r="R559" s="84"/>
    </row>
    <row r="560" spans="2:18">
      <c r="B560" s="85"/>
      <c r="C560" s="85"/>
      <c r="E560" s="86"/>
      <c r="N560" s="83"/>
      <c r="R560" s="84"/>
    </row>
    <row r="561" spans="2:18">
      <c r="B561" s="85"/>
      <c r="C561" s="85"/>
      <c r="E561" s="86"/>
      <c r="N561" s="83"/>
      <c r="R561" s="84"/>
    </row>
    <row r="562" spans="2:18">
      <c r="B562" s="85"/>
      <c r="C562" s="85"/>
      <c r="E562" s="86"/>
      <c r="N562" s="83"/>
      <c r="R562" s="84"/>
    </row>
    <row r="563" spans="2:18">
      <c r="B563" s="85"/>
      <c r="C563" s="85"/>
      <c r="E563" s="86"/>
      <c r="N563" s="83"/>
      <c r="R563" s="84"/>
    </row>
    <row r="564" spans="2:18">
      <c r="B564" s="85"/>
      <c r="C564" s="85"/>
      <c r="E564" s="86"/>
      <c r="N564" s="83"/>
      <c r="R564" s="84"/>
    </row>
    <row r="565" spans="2:18">
      <c r="B565" s="85"/>
      <c r="C565" s="85"/>
      <c r="E565" s="86"/>
      <c r="N565" s="83"/>
      <c r="R565" s="84"/>
    </row>
    <row r="566" spans="2:18">
      <c r="B566" s="85"/>
      <c r="C566" s="85"/>
      <c r="E566" s="86"/>
      <c r="N566" s="83"/>
      <c r="R566" s="84"/>
    </row>
    <row r="567" spans="2:18">
      <c r="B567" s="85"/>
      <c r="C567" s="85"/>
      <c r="E567" s="86"/>
      <c r="N567" s="83"/>
      <c r="R567" s="84"/>
    </row>
    <row r="568" spans="2:18">
      <c r="B568" s="85"/>
      <c r="C568" s="85"/>
      <c r="E568" s="86"/>
      <c r="N568" s="83"/>
      <c r="R568" s="84"/>
    </row>
    <row r="569" spans="2:18">
      <c r="B569" s="85"/>
      <c r="C569" s="85"/>
      <c r="E569" s="86"/>
      <c r="N569" s="83"/>
      <c r="R569" s="84"/>
    </row>
    <row r="570" spans="2:18">
      <c r="B570" s="85"/>
      <c r="C570" s="85"/>
      <c r="E570" s="86"/>
      <c r="N570" s="83"/>
      <c r="R570" s="84"/>
    </row>
    <row r="571" spans="2:18">
      <c r="B571" s="85"/>
      <c r="C571" s="85"/>
      <c r="E571" s="86"/>
      <c r="N571" s="83"/>
      <c r="R571" s="84"/>
    </row>
    <row r="572" spans="2:18">
      <c r="B572" s="85"/>
      <c r="C572" s="85"/>
      <c r="E572" s="86"/>
      <c r="N572" s="83"/>
      <c r="R572" s="84"/>
    </row>
    <row r="573" spans="2:18">
      <c r="B573" s="85"/>
      <c r="C573" s="85"/>
      <c r="E573" s="86"/>
      <c r="N573" s="83"/>
      <c r="R573" s="84"/>
    </row>
    <row r="574" spans="2:18">
      <c r="B574" s="85"/>
      <c r="C574" s="85"/>
      <c r="E574" s="86"/>
      <c r="N574" s="83"/>
      <c r="R574" s="84"/>
    </row>
    <row r="575" spans="2:18">
      <c r="B575" s="85"/>
      <c r="C575" s="85"/>
      <c r="E575" s="86"/>
      <c r="N575" s="83"/>
      <c r="R575" s="84"/>
    </row>
    <row r="576" spans="2:18">
      <c r="B576" s="85"/>
      <c r="C576" s="85"/>
      <c r="E576" s="86"/>
      <c r="N576" s="83"/>
      <c r="R576" s="84"/>
    </row>
    <row r="577" spans="2:18">
      <c r="B577" s="85"/>
      <c r="C577" s="85"/>
      <c r="E577" s="86"/>
      <c r="N577" s="83"/>
      <c r="R577" s="84"/>
    </row>
    <row r="578" spans="2:18">
      <c r="B578" s="85"/>
      <c r="C578" s="85"/>
      <c r="E578" s="86"/>
      <c r="N578" s="83"/>
      <c r="R578" s="84"/>
    </row>
    <row r="579" spans="2:18">
      <c r="B579" s="85"/>
      <c r="C579" s="85"/>
      <c r="E579" s="86"/>
      <c r="N579" s="83"/>
      <c r="R579" s="84"/>
    </row>
    <row r="580" spans="2:18">
      <c r="B580" s="85"/>
      <c r="C580" s="85"/>
      <c r="E580" s="86"/>
      <c r="N580" s="83"/>
      <c r="R580" s="84"/>
    </row>
    <row r="581" spans="2:18">
      <c r="B581" s="85"/>
      <c r="C581" s="85"/>
      <c r="E581" s="86"/>
      <c r="N581" s="83"/>
      <c r="R581" s="84"/>
    </row>
    <row r="582" spans="2:18">
      <c r="B582" s="85"/>
      <c r="C582" s="85"/>
      <c r="E582" s="86"/>
      <c r="N582" s="83"/>
      <c r="R582" s="84"/>
    </row>
    <row r="583" spans="2:18">
      <c r="B583" s="85"/>
      <c r="C583" s="85"/>
      <c r="E583" s="86"/>
      <c r="N583" s="83"/>
      <c r="R583" s="84"/>
    </row>
    <row r="584" spans="2:18">
      <c r="B584" s="85"/>
      <c r="C584" s="85"/>
      <c r="E584" s="86"/>
      <c r="N584" s="83"/>
      <c r="R584" s="84"/>
    </row>
    <row r="585" spans="2:18">
      <c r="B585" s="85"/>
      <c r="C585" s="85"/>
      <c r="E585" s="86"/>
      <c r="N585" s="83"/>
      <c r="R585" s="84"/>
    </row>
    <row r="586" spans="2:18">
      <c r="B586" s="85"/>
      <c r="C586" s="85"/>
      <c r="E586" s="86"/>
      <c r="N586" s="83"/>
      <c r="R586" s="84"/>
    </row>
    <row r="587" spans="2:18">
      <c r="B587" s="85"/>
      <c r="C587" s="85"/>
      <c r="E587" s="86"/>
      <c r="N587" s="83"/>
      <c r="R587" s="84"/>
    </row>
    <row r="588" spans="2:18">
      <c r="B588" s="85"/>
      <c r="C588" s="85"/>
      <c r="E588" s="86"/>
      <c r="N588" s="83"/>
      <c r="R588" s="84"/>
    </row>
    <row r="589" spans="2:18">
      <c r="B589" s="85"/>
      <c r="C589" s="85"/>
      <c r="E589" s="86"/>
      <c r="N589" s="83"/>
      <c r="R589" s="84"/>
    </row>
    <row r="590" spans="2:18">
      <c r="B590" s="85"/>
      <c r="C590" s="85"/>
      <c r="E590" s="86"/>
      <c r="N590" s="83"/>
      <c r="R590" s="84"/>
    </row>
    <row r="591" spans="2:18">
      <c r="B591" s="85"/>
      <c r="C591" s="85"/>
      <c r="E591" s="86"/>
      <c r="N591" s="83"/>
      <c r="R591" s="84"/>
    </row>
    <row r="592" spans="2:18">
      <c r="B592" s="85"/>
      <c r="C592" s="85"/>
      <c r="E592" s="86"/>
      <c r="N592" s="83"/>
      <c r="R592" s="84"/>
    </row>
    <row r="593" spans="2:18">
      <c r="B593" s="85"/>
      <c r="C593" s="85"/>
      <c r="E593" s="86"/>
      <c r="N593" s="83"/>
      <c r="R593" s="84"/>
    </row>
    <row r="594" spans="2:18">
      <c r="B594" s="85"/>
      <c r="C594" s="85"/>
      <c r="E594" s="86"/>
      <c r="N594" s="83"/>
      <c r="R594" s="84"/>
    </row>
    <row r="595" spans="2:18">
      <c r="B595" s="85"/>
      <c r="C595" s="85"/>
      <c r="E595" s="86"/>
      <c r="N595" s="83"/>
      <c r="R595" s="84"/>
    </row>
    <row r="596" spans="2:18">
      <c r="B596" s="85"/>
      <c r="C596" s="85"/>
      <c r="E596" s="86"/>
      <c r="N596" s="83"/>
      <c r="R596" s="84"/>
    </row>
    <row r="597" spans="2:18">
      <c r="B597" s="85"/>
      <c r="C597" s="85"/>
      <c r="E597" s="86"/>
      <c r="N597" s="83"/>
      <c r="R597" s="84"/>
    </row>
    <row r="598" spans="2:18">
      <c r="B598" s="85"/>
      <c r="C598" s="85"/>
      <c r="E598" s="86"/>
      <c r="N598" s="83"/>
      <c r="R598" s="84"/>
    </row>
    <row r="599" spans="2:18">
      <c r="B599" s="85"/>
      <c r="C599" s="85"/>
      <c r="E599" s="86"/>
      <c r="N599" s="83"/>
      <c r="R599" s="84"/>
    </row>
    <row r="600" spans="2:18">
      <c r="B600" s="85"/>
      <c r="C600" s="85"/>
      <c r="E600" s="86"/>
      <c r="N600" s="83"/>
      <c r="R600" s="84"/>
    </row>
    <row r="601" spans="2:18">
      <c r="B601" s="85"/>
      <c r="C601" s="85"/>
      <c r="E601" s="86"/>
      <c r="N601" s="83"/>
      <c r="R601" s="84"/>
    </row>
    <row r="602" spans="2:18">
      <c r="B602" s="85"/>
      <c r="C602" s="85"/>
      <c r="E602" s="86"/>
      <c r="N602" s="83"/>
      <c r="R602" s="84"/>
    </row>
    <row r="603" spans="2:18">
      <c r="B603" s="85"/>
      <c r="C603" s="85"/>
      <c r="E603" s="86"/>
      <c r="N603" s="83"/>
      <c r="R603" s="84"/>
    </row>
    <row r="604" spans="2:18">
      <c r="B604" s="85"/>
      <c r="C604" s="85"/>
      <c r="E604" s="86"/>
      <c r="N604" s="83"/>
      <c r="R604" s="84"/>
    </row>
    <row r="605" spans="2:18">
      <c r="B605" s="85"/>
      <c r="C605" s="85"/>
      <c r="E605" s="86"/>
      <c r="N605" s="83"/>
      <c r="R605" s="84"/>
    </row>
    <row r="606" spans="2:18">
      <c r="B606" s="85"/>
      <c r="C606" s="85"/>
      <c r="E606" s="86"/>
      <c r="N606" s="83"/>
      <c r="R606" s="84"/>
    </row>
    <row r="607" spans="2:18">
      <c r="B607" s="85"/>
      <c r="C607" s="85"/>
      <c r="E607" s="86"/>
      <c r="N607" s="83"/>
      <c r="R607" s="84"/>
    </row>
    <row r="608" spans="2:18">
      <c r="B608" s="85"/>
      <c r="C608" s="85"/>
      <c r="E608" s="86"/>
      <c r="N608" s="83"/>
      <c r="R608" s="84"/>
    </row>
    <row r="609" spans="2:18">
      <c r="B609" s="85"/>
      <c r="C609" s="85"/>
      <c r="E609" s="86"/>
      <c r="N609" s="83"/>
      <c r="R609" s="84"/>
    </row>
    <row r="610" spans="2:18">
      <c r="B610" s="85"/>
      <c r="C610" s="85"/>
      <c r="E610" s="86"/>
      <c r="N610" s="83"/>
      <c r="R610" s="84"/>
    </row>
    <row r="611" spans="2:18">
      <c r="B611" s="85"/>
      <c r="C611" s="85"/>
      <c r="E611" s="86"/>
      <c r="N611" s="83"/>
      <c r="R611" s="84"/>
    </row>
    <row r="612" spans="2:18">
      <c r="B612" s="85"/>
      <c r="C612" s="85"/>
      <c r="E612" s="86"/>
      <c r="N612" s="83"/>
      <c r="R612" s="84"/>
    </row>
    <row r="613" spans="2:18">
      <c r="B613" s="85"/>
      <c r="C613" s="85"/>
      <c r="E613" s="86"/>
      <c r="N613" s="83"/>
      <c r="R613" s="84"/>
    </row>
    <row r="614" spans="2:18">
      <c r="B614" s="85"/>
      <c r="C614" s="85"/>
      <c r="E614" s="86"/>
      <c r="N614" s="83"/>
      <c r="R614" s="84"/>
    </row>
    <row r="615" spans="2:18">
      <c r="B615" s="85"/>
      <c r="C615" s="85"/>
      <c r="E615" s="86"/>
      <c r="N615" s="83"/>
      <c r="R615" s="84"/>
    </row>
    <row r="616" spans="2:18">
      <c r="B616" s="85"/>
      <c r="C616" s="85"/>
      <c r="E616" s="86"/>
      <c r="N616" s="83"/>
      <c r="R616" s="84"/>
    </row>
    <row r="617" spans="2:18">
      <c r="B617" s="85"/>
      <c r="C617" s="85"/>
      <c r="E617" s="86"/>
      <c r="N617" s="83"/>
      <c r="R617" s="84"/>
    </row>
    <row r="618" spans="2:18">
      <c r="B618" s="85"/>
      <c r="C618" s="85"/>
      <c r="E618" s="86"/>
      <c r="N618" s="83"/>
      <c r="R618" s="84"/>
    </row>
    <row r="619" spans="2:18">
      <c r="B619" s="85"/>
      <c r="C619" s="85"/>
      <c r="E619" s="86"/>
      <c r="N619" s="83"/>
      <c r="R619" s="84"/>
    </row>
    <row r="620" spans="2:18">
      <c r="B620" s="85"/>
      <c r="C620" s="85"/>
      <c r="E620" s="86"/>
      <c r="N620" s="83"/>
      <c r="R620" s="84"/>
    </row>
    <row r="621" spans="2:18">
      <c r="B621" s="85"/>
      <c r="C621" s="85"/>
      <c r="E621" s="86"/>
      <c r="N621" s="83"/>
      <c r="R621" s="84"/>
    </row>
    <row r="622" spans="2:18">
      <c r="B622" s="85"/>
      <c r="C622" s="85"/>
      <c r="E622" s="86"/>
      <c r="N622" s="83"/>
      <c r="R622" s="84"/>
    </row>
    <row r="623" spans="2:18">
      <c r="B623" s="85"/>
      <c r="C623" s="85"/>
      <c r="E623" s="86"/>
      <c r="N623" s="83"/>
      <c r="R623" s="84"/>
    </row>
    <row r="624" spans="2:18">
      <c r="B624" s="85"/>
      <c r="C624" s="85"/>
      <c r="E624" s="86"/>
      <c r="N624" s="83"/>
      <c r="R624" s="84"/>
    </row>
    <row r="625" spans="2:18">
      <c r="B625" s="85"/>
      <c r="C625" s="85"/>
      <c r="E625" s="86"/>
      <c r="N625" s="83"/>
      <c r="R625" s="84"/>
    </row>
    <row r="626" spans="2:18">
      <c r="B626" s="85"/>
      <c r="C626" s="85"/>
      <c r="E626" s="86"/>
      <c r="N626" s="83"/>
      <c r="R626" s="84"/>
    </row>
    <row r="627" spans="2:18">
      <c r="B627" s="85"/>
      <c r="C627" s="85"/>
      <c r="E627" s="86"/>
      <c r="N627" s="83"/>
      <c r="R627" s="84"/>
    </row>
    <row r="628" spans="2:18">
      <c r="B628" s="85"/>
      <c r="C628" s="85"/>
      <c r="E628" s="86"/>
      <c r="N628" s="83"/>
      <c r="R628" s="84"/>
    </row>
    <row r="629" spans="2:18">
      <c r="B629" s="85"/>
      <c r="C629" s="85"/>
      <c r="E629" s="86"/>
      <c r="N629" s="83"/>
      <c r="R629" s="84"/>
    </row>
    <row r="630" spans="2:18">
      <c r="B630" s="85"/>
      <c r="C630" s="85"/>
      <c r="E630" s="86"/>
      <c r="N630" s="83"/>
      <c r="R630" s="84"/>
    </row>
    <row r="631" spans="2:18">
      <c r="B631" s="85"/>
      <c r="C631" s="85"/>
      <c r="E631" s="86"/>
      <c r="N631" s="83"/>
      <c r="R631" s="84"/>
    </row>
    <row r="632" spans="2:18">
      <c r="B632" s="85"/>
      <c r="C632" s="85"/>
      <c r="E632" s="86"/>
      <c r="N632" s="83"/>
      <c r="R632" s="84"/>
    </row>
    <row r="633" spans="2:18">
      <c r="B633" s="85"/>
      <c r="C633" s="85"/>
      <c r="E633" s="86"/>
      <c r="N633" s="83"/>
      <c r="R633" s="84"/>
    </row>
    <row r="634" spans="2:18">
      <c r="B634" s="85"/>
      <c r="C634" s="85"/>
      <c r="E634" s="86"/>
      <c r="N634" s="83"/>
      <c r="R634" s="84"/>
    </row>
    <row r="635" spans="2:18">
      <c r="B635" s="85"/>
      <c r="C635" s="85"/>
      <c r="E635" s="86"/>
      <c r="N635" s="83"/>
      <c r="R635" s="84"/>
    </row>
    <row r="636" spans="2:18">
      <c r="B636" s="85"/>
      <c r="C636" s="85"/>
      <c r="E636" s="86"/>
      <c r="N636" s="83"/>
      <c r="R636" s="84"/>
    </row>
    <row r="637" spans="2:18">
      <c r="B637" s="85"/>
      <c r="C637" s="85"/>
      <c r="E637" s="86"/>
      <c r="N637" s="83"/>
      <c r="R637" s="84"/>
    </row>
    <row r="638" spans="2:18">
      <c r="B638" s="85"/>
      <c r="C638" s="85"/>
      <c r="E638" s="86"/>
      <c r="N638" s="83"/>
      <c r="R638" s="84"/>
    </row>
    <row r="639" spans="2:18">
      <c r="B639" s="85"/>
      <c r="C639" s="85"/>
      <c r="E639" s="86"/>
      <c r="N639" s="83"/>
      <c r="R639" s="84"/>
    </row>
    <row r="640" spans="2:18">
      <c r="B640" s="85"/>
      <c r="C640" s="85"/>
      <c r="E640" s="86"/>
      <c r="N640" s="83"/>
      <c r="R640" s="84"/>
    </row>
    <row r="641" spans="2:18">
      <c r="B641" s="85"/>
      <c r="C641" s="85"/>
      <c r="E641" s="86"/>
      <c r="N641" s="83"/>
      <c r="R641" s="84"/>
    </row>
    <row r="642" spans="2:18">
      <c r="B642" s="85"/>
      <c r="C642" s="85"/>
      <c r="E642" s="86"/>
      <c r="N642" s="83"/>
      <c r="R642" s="84"/>
    </row>
    <row r="643" spans="2:18">
      <c r="B643" s="85"/>
      <c r="C643" s="85"/>
      <c r="E643" s="86"/>
      <c r="N643" s="83"/>
      <c r="R643" s="84"/>
    </row>
    <row r="644" spans="2:18">
      <c r="B644" s="85"/>
      <c r="C644" s="85"/>
      <c r="E644" s="86"/>
      <c r="N644" s="83"/>
      <c r="R644" s="84"/>
    </row>
    <row r="645" spans="2:18">
      <c r="B645" s="85"/>
      <c r="C645" s="85"/>
      <c r="E645" s="86"/>
      <c r="N645" s="83"/>
      <c r="R645" s="84"/>
    </row>
    <row r="646" spans="2:18">
      <c r="B646" s="85"/>
      <c r="C646" s="85"/>
      <c r="E646" s="86"/>
      <c r="N646" s="83"/>
      <c r="R646" s="84"/>
    </row>
    <row r="647" spans="2:18">
      <c r="B647" s="85"/>
      <c r="C647" s="85"/>
      <c r="E647" s="86"/>
      <c r="N647" s="83"/>
      <c r="R647" s="84"/>
    </row>
    <row r="648" spans="2:18">
      <c r="B648" s="85"/>
      <c r="C648" s="85"/>
      <c r="E648" s="86"/>
      <c r="N648" s="83"/>
      <c r="R648" s="84"/>
    </row>
    <row r="649" spans="2:18">
      <c r="B649" s="85"/>
      <c r="C649" s="85"/>
      <c r="E649" s="86"/>
      <c r="N649" s="83"/>
      <c r="R649" s="84"/>
    </row>
    <row r="650" spans="2:18">
      <c r="B650" s="85"/>
      <c r="C650" s="85"/>
      <c r="E650" s="86"/>
      <c r="N650" s="83"/>
      <c r="R650" s="84"/>
    </row>
    <row r="651" spans="2:18">
      <c r="B651" s="85"/>
      <c r="C651" s="85"/>
      <c r="E651" s="86"/>
      <c r="N651" s="83"/>
      <c r="R651" s="84"/>
    </row>
    <row r="652" spans="2:18">
      <c r="B652" s="85"/>
      <c r="C652" s="85"/>
      <c r="E652" s="86"/>
      <c r="N652" s="83"/>
      <c r="R652" s="84"/>
    </row>
    <row r="653" spans="2:18">
      <c r="B653" s="85"/>
      <c r="C653" s="85"/>
      <c r="E653" s="86"/>
      <c r="N653" s="83"/>
      <c r="R653" s="84"/>
    </row>
    <row r="654" spans="2:18">
      <c r="B654" s="85"/>
      <c r="C654" s="85"/>
      <c r="E654" s="86"/>
      <c r="N654" s="83"/>
      <c r="R654" s="84"/>
    </row>
    <row r="655" spans="2:18">
      <c r="B655" s="85"/>
      <c r="C655" s="85"/>
      <c r="E655" s="86"/>
      <c r="N655" s="83"/>
      <c r="R655" s="84"/>
    </row>
    <row r="656" spans="2:18">
      <c r="B656" s="85"/>
      <c r="C656" s="85"/>
      <c r="E656" s="86"/>
      <c r="N656" s="83"/>
      <c r="R656" s="84"/>
    </row>
    <row r="657" spans="2:18">
      <c r="B657" s="85"/>
      <c r="C657" s="85"/>
      <c r="E657" s="86"/>
      <c r="N657" s="83"/>
      <c r="R657" s="84"/>
    </row>
    <row r="658" spans="2:18">
      <c r="B658" s="85"/>
      <c r="C658" s="85"/>
      <c r="E658" s="86"/>
      <c r="N658" s="83"/>
      <c r="R658" s="84"/>
    </row>
    <row r="659" spans="2:18">
      <c r="B659" s="85"/>
      <c r="C659" s="85"/>
      <c r="E659" s="86"/>
      <c r="N659" s="83"/>
      <c r="R659" s="84"/>
    </row>
    <row r="660" spans="2:18">
      <c r="B660" s="85"/>
      <c r="C660" s="85"/>
      <c r="E660" s="86"/>
      <c r="N660" s="83"/>
      <c r="R660" s="84"/>
    </row>
    <row r="661" spans="2:18">
      <c r="B661" s="85"/>
      <c r="C661" s="85"/>
      <c r="E661" s="86"/>
      <c r="N661" s="83"/>
      <c r="R661" s="84"/>
    </row>
    <row r="662" spans="2:18">
      <c r="B662" s="85"/>
      <c r="C662" s="85"/>
      <c r="E662" s="86"/>
      <c r="N662" s="83"/>
      <c r="R662" s="84"/>
    </row>
    <row r="663" spans="2:18">
      <c r="B663" s="85"/>
      <c r="C663" s="85"/>
      <c r="E663" s="86"/>
      <c r="N663" s="83"/>
      <c r="R663" s="84"/>
    </row>
    <row r="664" spans="2:18">
      <c r="B664" s="85"/>
      <c r="C664" s="85"/>
      <c r="E664" s="86"/>
      <c r="N664" s="83"/>
      <c r="R664" s="84"/>
    </row>
    <row r="665" spans="2:18">
      <c r="B665" s="85"/>
      <c r="C665" s="85"/>
      <c r="E665" s="86"/>
      <c r="N665" s="83"/>
      <c r="R665" s="84"/>
    </row>
    <row r="666" spans="2:18">
      <c r="B666" s="85"/>
      <c r="C666" s="85"/>
      <c r="E666" s="86"/>
      <c r="N666" s="83"/>
      <c r="R666" s="84"/>
    </row>
    <row r="667" spans="2:18">
      <c r="B667" s="85"/>
      <c r="C667" s="85"/>
      <c r="E667" s="86"/>
      <c r="N667" s="83"/>
      <c r="R667" s="84"/>
    </row>
    <row r="668" spans="2:18">
      <c r="B668" s="85"/>
      <c r="C668" s="85"/>
      <c r="E668" s="86"/>
      <c r="N668" s="83"/>
      <c r="R668" s="84"/>
    </row>
    <row r="669" spans="2:18">
      <c r="B669" s="85"/>
      <c r="C669" s="85"/>
      <c r="E669" s="86"/>
      <c r="N669" s="83"/>
      <c r="R669" s="84"/>
    </row>
    <row r="670" spans="2:18">
      <c r="B670" s="85"/>
      <c r="C670" s="85"/>
      <c r="E670" s="86"/>
      <c r="N670" s="83"/>
      <c r="R670" s="84"/>
    </row>
    <row r="671" spans="2:18">
      <c r="B671" s="85"/>
      <c r="C671" s="85"/>
      <c r="E671" s="86"/>
      <c r="N671" s="83"/>
      <c r="R671" s="84"/>
    </row>
    <row r="672" spans="2:18">
      <c r="B672" s="85"/>
      <c r="C672" s="85"/>
      <c r="E672" s="86"/>
      <c r="N672" s="83"/>
      <c r="R672" s="84"/>
    </row>
    <row r="673" spans="2:18">
      <c r="B673" s="85"/>
      <c r="C673" s="85"/>
      <c r="E673" s="86"/>
      <c r="N673" s="83"/>
      <c r="R673" s="84"/>
    </row>
    <row r="674" spans="2:18">
      <c r="B674" s="85"/>
      <c r="C674" s="85"/>
      <c r="E674" s="86"/>
      <c r="N674" s="83"/>
      <c r="R674" s="84"/>
    </row>
    <row r="675" spans="2:18">
      <c r="B675" s="85"/>
      <c r="C675" s="85"/>
      <c r="E675" s="86"/>
      <c r="N675" s="83"/>
      <c r="R675" s="84"/>
    </row>
    <row r="676" spans="2:18">
      <c r="B676" s="85"/>
      <c r="C676" s="85"/>
      <c r="E676" s="86"/>
      <c r="N676" s="83"/>
      <c r="R676" s="84"/>
    </row>
    <row r="677" spans="2:18">
      <c r="B677" s="85"/>
      <c r="C677" s="85"/>
      <c r="E677" s="86"/>
      <c r="N677" s="83"/>
      <c r="R677" s="84"/>
    </row>
    <row r="678" spans="2:18">
      <c r="B678" s="85"/>
      <c r="C678" s="85"/>
      <c r="E678" s="86"/>
      <c r="N678" s="83"/>
      <c r="R678" s="84"/>
    </row>
    <row r="679" spans="2:18">
      <c r="B679" s="85"/>
      <c r="C679" s="85"/>
      <c r="E679" s="86"/>
      <c r="N679" s="83"/>
      <c r="R679" s="84"/>
    </row>
    <row r="680" spans="2:18">
      <c r="B680" s="85"/>
      <c r="C680" s="85"/>
      <c r="E680" s="86"/>
      <c r="N680" s="83"/>
      <c r="R680" s="84"/>
    </row>
    <row r="681" spans="2:18">
      <c r="B681" s="85"/>
      <c r="C681" s="85"/>
      <c r="E681" s="86"/>
      <c r="N681" s="83"/>
      <c r="R681" s="84"/>
    </row>
    <row r="682" spans="2:18">
      <c r="B682" s="85"/>
      <c r="C682" s="85"/>
      <c r="E682" s="86"/>
      <c r="N682" s="83"/>
      <c r="R682" s="84"/>
    </row>
    <row r="683" spans="2:18">
      <c r="B683" s="85"/>
      <c r="C683" s="85"/>
      <c r="E683" s="86"/>
      <c r="N683" s="83"/>
      <c r="R683" s="84"/>
    </row>
    <row r="684" spans="2:18">
      <c r="B684" s="85"/>
      <c r="C684" s="85"/>
      <c r="E684" s="86"/>
      <c r="N684" s="83"/>
      <c r="R684" s="84"/>
    </row>
    <row r="685" spans="2:18">
      <c r="B685" s="85"/>
      <c r="C685" s="85"/>
      <c r="E685" s="86"/>
      <c r="N685" s="83"/>
      <c r="R685" s="84"/>
    </row>
    <row r="686" spans="2:18">
      <c r="B686" s="85"/>
      <c r="C686" s="85"/>
      <c r="E686" s="86"/>
      <c r="N686" s="83"/>
      <c r="R686" s="84"/>
    </row>
    <row r="687" spans="2:18">
      <c r="B687" s="85"/>
      <c r="C687" s="85"/>
      <c r="E687" s="86"/>
      <c r="N687" s="83"/>
      <c r="R687" s="84"/>
    </row>
    <row r="688" spans="2:18">
      <c r="B688" s="85"/>
      <c r="C688" s="85"/>
      <c r="E688" s="86"/>
      <c r="N688" s="83"/>
      <c r="R688" s="84"/>
    </row>
    <row r="689" spans="2:18">
      <c r="B689" s="85"/>
      <c r="C689" s="85"/>
      <c r="E689" s="86"/>
      <c r="N689" s="83"/>
      <c r="R689" s="84"/>
    </row>
    <row r="690" spans="2:18">
      <c r="B690" s="85"/>
      <c r="C690" s="85"/>
      <c r="E690" s="86"/>
      <c r="N690" s="83"/>
      <c r="R690" s="84"/>
    </row>
    <row r="691" spans="2:18">
      <c r="B691" s="85"/>
      <c r="C691" s="85"/>
      <c r="E691" s="86"/>
      <c r="N691" s="83"/>
      <c r="R691" s="84"/>
    </row>
    <row r="692" spans="2:18">
      <c r="B692" s="85"/>
      <c r="C692" s="85"/>
      <c r="E692" s="86"/>
      <c r="N692" s="83"/>
      <c r="R692" s="84"/>
    </row>
    <row r="693" spans="2:18">
      <c r="B693" s="85"/>
      <c r="C693" s="85"/>
      <c r="E693" s="86"/>
      <c r="N693" s="83"/>
      <c r="R693" s="84"/>
    </row>
    <row r="694" spans="2:18">
      <c r="B694" s="85"/>
      <c r="C694" s="85"/>
      <c r="E694" s="86"/>
      <c r="N694" s="83"/>
      <c r="R694" s="84"/>
    </row>
    <row r="695" spans="2:18">
      <c r="B695" s="85"/>
      <c r="C695" s="85"/>
      <c r="E695" s="86"/>
      <c r="N695" s="83"/>
      <c r="R695" s="84"/>
    </row>
    <row r="696" spans="2:18">
      <c r="B696" s="85"/>
      <c r="C696" s="85"/>
      <c r="E696" s="86"/>
      <c r="N696" s="83"/>
      <c r="R696" s="84"/>
    </row>
    <row r="697" spans="2:18">
      <c r="B697" s="85"/>
      <c r="C697" s="85"/>
      <c r="E697" s="86"/>
      <c r="N697" s="83"/>
      <c r="R697" s="84"/>
    </row>
    <row r="698" spans="2:18">
      <c r="B698" s="85"/>
      <c r="C698" s="85"/>
      <c r="E698" s="86"/>
      <c r="N698" s="83"/>
      <c r="R698" s="84"/>
    </row>
    <row r="699" spans="2:18">
      <c r="B699" s="85"/>
      <c r="C699" s="85"/>
      <c r="E699" s="86"/>
      <c r="N699" s="83"/>
      <c r="R699" s="84"/>
    </row>
    <row r="700" spans="2:18">
      <c r="B700" s="85"/>
      <c r="C700" s="85"/>
      <c r="E700" s="86"/>
      <c r="N700" s="83"/>
      <c r="R700" s="84"/>
    </row>
    <row r="701" spans="2:18">
      <c r="B701" s="85"/>
      <c r="C701" s="85"/>
      <c r="E701" s="86"/>
      <c r="N701" s="83"/>
      <c r="R701" s="84"/>
    </row>
    <row r="702" spans="2:18">
      <c r="B702" s="85"/>
      <c r="C702" s="85"/>
      <c r="E702" s="86"/>
      <c r="N702" s="83"/>
      <c r="R702" s="84"/>
    </row>
    <row r="703" spans="2:18">
      <c r="B703" s="85"/>
      <c r="C703" s="85"/>
      <c r="E703" s="86"/>
      <c r="N703" s="83"/>
      <c r="R703" s="84"/>
    </row>
    <row r="704" spans="2:18">
      <c r="B704" s="85"/>
      <c r="C704" s="85"/>
      <c r="E704" s="86"/>
      <c r="N704" s="83"/>
      <c r="R704" s="84"/>
    </row>
    <row r="705" spans="2:18">
      <c r="B705" s="85"/>
      <c r="C705" s="85"/>
      <c r="E705" s="86"/>
      <c r="N705" s="83"/>
      <c r="R705" s="84"/>
    </row>
    <row r="706" spans="2:18">
      <c r="B706" s="85"/>
      <c r="C706" s="85"/>
      <c r="E706" s="86"/>
      <c r="N706" s="83"/>
      <c r="R706" s="84"/>
    </row>
    <row r="707" spans="2:18">
      <c r="B707" s="85"/>
      <c r="C707" s="85"/>
      <c r="E707" s="86"/>
      <c r="N707" s="83"/>
      <c r="R707" s="84"/>
    </row>
    <row r="708" spans="2:18">
      <c r="B708" s="85"/>
      <c r="C708" s="85"/>
      <c r="E708" s="86"/>
      <c r="N708" s="83"/>
      <c r="R708" s="84"/>
    </row>
    <row r="709" spans="2:18">
      <c r="B709" s="85"/>
      <c r="C709" s="85"/>
      <c r="E709" s="86"/>
      <c r="N709" s="83"/>
      <c r="R709" s="84"/>
    </row>
    <row r="710" spans="2:18">
      <c r="B710" s="85"/>
      <c r="C710" s="85"/>
      <c r="E710" s="86"/>
      <c r="N710" s="83"/>
      <c r="R710" s="84"/>
    </row>
    <row r="711" spans="2:18">
      <c r="B711" s="85"/>
      <c r="C711" s="85"/>
      <c r="E711" s="86"/>
      <c r="N711" s="83"/>
      <c r="R711" s="84"/>
    </row>
    <row r="712" spans="2:18">
      <c r="B712" s="85"/>
      <c r="C712" s="85"/>
      <c r="E712" s="86"/>
      <c r="N712" s="83"/>
      <c r="R712" s="84"/>
    </row>
    <row r="713" spans="2:18">
      <c r="B713" s="85"/>
      <c r="C713" s="85"/>
      <c r="E713" s="86"/>
      <c r="N713" s="83"/>
      <c r="R713" s="84"/>
    </row>
    <row r="714" spans="2:18">
      <c r="B714" s="85"/>
      <c r="C714" s="85"/>
      <c r="E714" s="86"/>
      <c r="N714" s="83"/>
      <c r="R714" s="84"/>
    </row>
    <row r="715" spans="2:18">
      <c r="B715" s="85"/>
      <c r="C715" s="85"/>
      <c r="E715" s="86"/>
      <c r="N715" s="83"/>
      <c r="R715" s="84"/>
    </row>
    <row r="716" spans="2:18">
      <c r="B716" s="85"/>
      <c r="C716" s="85"/>
      <c r="E716" s="86"/>
      <c r="N716" s="83"/>
      <c r="R716" s="84"/>
    </row>
    <row r="717" spans="2:18">
      <c r="B717" s="85"/>
      <c r="C717" s="85"/>
      <c r="E717" s="86"/>
      <c r="N717" s="83"/>
      <c r="R717" s="84"/>
    </row>
    <row r="718" spans="2:18">
      <c r="B718" s="85"/>
      <c r="C718" s="85"/>
      <c r="E718" s="86"/>
      <c r="N718" s="83"/>
      <c r="R718" s="84"/>
    </row>
    <row r="719" spans="2:18">
      <c r="B719" s="85"/>
      <c r="C719" s="85"/>
      <c r="E719" s="86"/>
      <c r="N719" s="83"/>
      <c r="R719" s="84"/>
    </row>
    <row r="720" spans="2:18">
      <c r="B720" s="85"/>
      <c r="C720" s="85"/>
      <c r="E720" s="86"/>
      <c r="N720" s="83"/>
      <c r="R720" s="84"/>
    </row>
    <row r="721" spans="2:18">
      <c r="B721" s="85"/>
      <c r="C721" s="85"/>
      <c r="E721" s="86"/>
      <c r="N721" s="83"/>
      <c r="R721" s="84"/>
    </row>
    <row r="722" spans="2:18">
      <c r="B722" s="85"/>
      <c r="C722" s="85"/>
      <c r="E722" s="86"/>
      <c r="N722" s="83"/>
      <c r="R722" s="84"/>
    </row>
    <row r="723" spans="2:18">
      <c r="B723" s="85"/>
      <c r="C723" s="85"/>
      <c r="E723" s="86"/>
      <c r="N723" s="83"/>
      <c r="R723" s="84"/>
    </row>
    <row r="724" spans="2:18">
      <c r="B724" s="85"/>
      <c r="C724" s="85"/>
      <c r="E724" s="86"/>
      <c r="N724" s="83"/>
      <c r="R724" s="84"/>
    </row>
    <row r="725" spans="2:18">
      <c r="B725" s="85"/>
      <c r="C725" s="85"/>
      <c r="E725" s="86"/>
      <c r="N725" s="83"/>
      <c r="R725" s="84"/>
    </row>
    <row r="726" spans="2:18">
      <c r="B726" s="85"/>
      <c r="C726" s="85"/>
      <c r="E726" s="86"/>
      <c r="N726" s="83"/>
      <c r="R726" s="84"/>
    </row>
    <row r="727" spans="2:18">
      <c r="B727" s="85"/>
      <c r="C727" s="85"/>
      <c r="E727" s="86"/>
      <c r="N727" s="83"/>
      <c r="R727" s="84"/>
    </row>
    <row r="728" spans="2:18">
      <c r="B728" s="85"/>
      <c r="C728" s="85"/>
      <c r="E728" s="86"/>
      <c r="N728" s="83"/>
      <c r="R728" s="84"/>
    </row>
    <row r="729" spans="2:18">
      <c r="B729" s="85"/>
      <c r="C729" s="85"/>
      <c r="E729" s="86"/>
      <c r="N729" s="83"/>
      <c r="R729" s="84"/>
    </row>
    <row r="730" spans="2:18">
      <c r="B730" s="85"/>
      <c r="C730" s="85"/>
      <c r="E730" s="86"/>
      <c r="N730" s="83"/>
      <c r="R730" s="84"/>
    </row>
    <row r="731" spans="2:18">
      <c r="B731" s="85"/>
      <c r="C731" s="85"/>
      <c r="E731" s="86"/>
      <c r="N731" s="83"/>
      <c r="R731" s="84"/>
    </row>
    <row r="732" spans="2:18">
      <c r="B732" s="85"/>
      <c r="C732" s="85"/>
      <c r="E732" s="86"/>
      <c r="N732" s="83"/>
      <c r="R732" s="84"/>
    </row>
    <row r="733" spans="2:18">
      <c r="B733" s="85"/>
      <c r="C733" s="85"/>
      <c r="E733" s="86"/>
      <c r="N733" s="83"/>
      <c r="R733" s="84"/>
    </row>
    <row r="734" spans="2:18">
      <c r="B734" s="85"/>
      <c r="C734" s="85"/>
      <c r="E734" s="86"/>
      <c r="N734" s="83"/>
      <c r="R734" s="84"/>
    </row>
    <row r="735" spans="2:18">
      <c r="B735" s="85"/>
      <c r="C735" s="85"/>
      <c r="E735" s="86"/>
      <c r="N735" s="83"/>
      <c r="R735" s="84"/>
    </row>
    <row r="736" spans="2:18">
      <c r="B736" s="85"/>
      <c r="C736" s="85"/>
      <c r="E736" s="86"/>
      <c r="N736" s="83"/>
      <c r="R736" s="84"/>
    </row>
    <row r="737" spans="2:18">
      <c r="B737" s="85"/>
      <c r="C737" s="85"/>
      <c r="E737" s="86"/>
      <c r="N737" s="83"/>
      <c r="R737" s="84"/>
    </row>
    <row r="738" spans="2:18">
      <c r="B738" s="85"/>
      <c r="C738" s="85"/>
      <c r="E738" s="86"/>
      <c r="N738" s="83"/>
      <c r="R738" s="84"/>
    </row>
    <row r="739" spans="2:18">
      <c r="B739" s="85"/>
      <c r="C739" s="85"/>
      <c r="E739" s="86"/>
      <c r="N739" s="83"/>
      <c r="R739" s="84"/>
    </row>
    <row r="740" spans="2:18">
      <c r="B740" s="85"/>
      <c r="C740" s="85"/>
      <c r="E740" s="86"/>
      <c r="N740" s="83"/>
      <c r="R740" s="84"/>
    </row>
    <row r="741" spans="2:18">
      <c r="B741" s="85"/>
      <c r="C741" s="85"/>
      <c r="E741" s="86"/>
      <c r="N741" s="83"/>
      <c r="R741" s="84"/>
    </row>
    <row r="742" spans="2:18">
      <c r="B742" s="85"/>
      <c r="C742" s="85"/>
      <c r="E742" s="86"/>
      <c r="N742" s="83"/>
      <c r="R742" s="84"/>
    </row>
    <row r="743" spans="2:18">
      <c r="B743" s="85"/>
      <c r="C743" s="85"/>
      <c r="E743" s="86"/>
      <c r="N743" s="83"/>
      <c r="R743" s="84"/>
    </row>
    <row r="744" spans="2:18">
      <c r="B744" s="85"/>
      <c r="C744" s="85"/>
      <c r="E744" s="86"/>
      <c r="N744" s="83"/>
      <c r="R744" s="84"/>
    </row>
    <row r="745" spans="2:18">
      <c r="B745" s="85"/>
      <c r="C745" s="85"/>
      <c r="E745" s="86"/>
      <c r="N745" s="83"/>
      <c r="R745" s="84"/>
    </row>
    <row r="746" spans="2:18">
      <c r="B746" s="85"/>
      <c r="C746" s="85"/>
      <c r="E746" s="86"/>
      <c r="N746" s="83"/>
      <c r="R746" s="84"/>
    </row>
    <row r="747" spans="2:18">
      <c r="B747" s="85"/>
      <c r="C747" s="85"/>
      <c r="E747" s="86"/>
      <c r="N747" s="83"/>
      <c r="R747" s="84"/>
    </row>
    <row r="748" spans="2:18">
      <c r="B748" s="85"/>
      <c r="C748" s="85"/>
      <c r="E748" s="86"/>
      <c r="N748" s="83"/>
      <c r="R748" s="84"/>
    </row>
    <row r="749" spans="2:18">
      <c r="B749" s="85"/>
      <c r="C749" s="85"/>
      <c r="E749" s="86"/>
      <c r="N749" s="83"/>
      <c r="R749" s="84"/>
    </row>
    <row r="750" spans="2:18">
      <c r="B750" s="85"/>
      <c r="C750" s="85"/>
      <c r="E750" s="86"/>
      <c r="N750" s="83"/>
      <c r="R750" s="84"/>
    </row>
    <row r="751" spans="2:18">
      <c r="B751" s="85"/>
      <c r="C751" s="85"/>
      <c r="E751" s="86"/>
      <c r="N751" s="83"/>
      <c r="R751" s="84"/>
    </row>
    <row r="752" spans="2:18">
      <c r="B752" s="85"/>
      <c r="C752" s="85"/>
      <c r="E752" s="86"/>
      <c r="N752" s="83"/>
      <c r="R752" s="84"/>
    </row>
    <row r="753" spans="2:18">
      <c r="B753" s="85"/>
      <c r="C753" s="85"/>
      <c r="E753" s="86"/>
      <c r="N753" s="83"/>
      <c r="R753" s="84"/>
    </row>
    <row r="754" spans="2:18">
      <c r="B754" s="85"/>
      <c r="C754" s="85"/>
      <c r="E754" s="86"/>
      <c r="N754" s="83"/>
      <c r="R754" s="84"/>
    </row>
    <row r="755" spans="2:18">
      <c r="B755" s="85"/>
      <c r="C755" s="85"/>
      <c r="E755" s="86"/>
      <c r="N755" s="83"/>
      <c r="R755" s="84"/>
    </row>
    <row r="756" spans="2:18">
      <c r="B756" s="85"/>
      <c r="C756" s="85"/>
      <c r="E756" s="86"/>
      <c r="N756" s="83"/>
      <c r="R756" s="84"/>
    </row>
    <row r="757" spans="2:18">
      <c r="B757" s="85"/>
      <c r="C757" s="85"/>
      <c r="E757" s="86"/>
      <c r="N757" s="83"/>
      <c r="R757" s="84"/>
    </row>
    <row r="758" spans="2:18">
      <c r="B758" s="85"/>
      <c r="C758" s="85"/>
      <c r="E758" s="86"/>
      <c r="N758" s="83"/>
      <c r="R758" s="84"/>
    </row>
    <row r="759" spans="2:18">
      <c r="B759" s="85"/>
      <c r="C759" s="85"/>
      <c r="E759" s="86"/>
      <c r="N759" s="83"/>
      <c r="R759" s="84"/>
    </row>
    <row r="760" spans="2:18">
      <c r="B760" s="85"/>
      <c r="C760" s="85"/>
      <c r="E760" s="86"/>
      <c r="N760" s="83"/>
      <c r="R760" s="84"/>
    </row>
    <row r="761" spans="2:18">
      <c r="B761" s="85"/>
      <c r="C761" s="85"/>
      <c r="E761" s="86"/>
      <c r="N761" s="83"/>
      <c r="R761" s="84"/>
    </row>
    <row r="762" spans="2:18">
      <c r="B762" s="85"/>
      <c r="C762" s="85"/>
      <c r="E762" s="86"/>
      <c r="N762" s="83"/>
      <c r="R762" s="84"/>
    </row>
    <row r="763" spans="2:18">
      <c r="B763" s="85"/>
      <c r="C763" s="85"/>
      <c r="E763" s="86"/>
      <c r="N763" s="83"/>
      <c r="R763" s="84"/>
    </row>
    <row r="764" spans="2:18">
      <c r="B764" s="85"/>
      <c r="C764" s="85"/>
      <c r="E764" s="86"/>
      <c r="N764" s="83"/>
      <c r="R764" s="84"/>
    </row>
    <row r="765" spans="2:18">
      <c r="B765" s="85"/>
      <c r="C765" s="85"/>
      <c r="E765" s="86"/>
      <c r="N765" s="83"/>
      <c r="R765" s="84"/>
    </row>
    <row r="766" spans="2:18">
      <c r="B766" s="85"/>
      <c r="C766" s="85"/>
      <c r="E766" s="86"/>
      <c r="N766" s="83"/>
      <c r="R766" s="84"/>
    </row>
    <row r="767" spans="2:18">
      <c r="B767" s="85"/>
      <c r="C767" s="85"/>
      <c r="E767" s="86"/>
      <c r="N767" s="83"/>
      <c r="R767" s="84"/>
    </row>
    <row r="768" spans="2:18">
      <c r="B768" s="85"/>
      <c r="C768" s="85"/>
      <c r="E768" s="86"/>
      <c r="N768" s="83"/>
      <c r="R768" s="84"/>
    </row>
    <row r="769" spans="2:18">
      <c r="B769" s="85"/>
      <c r="C769" s="85"/>
      <c r="E769" s="86"/>
      <c r="N769" s="83"/>
      <c r="R769" s="84"/>
    </row>
    <row r="770" spans="2:18">
      <c r="B770" s="85"/>
      <c r="C770" s="85"/>
      <c r="E770" s="86"/>
      <c r="N770" s="83"/>
      <c r="R770" s="84"/>
    </row>
    <row r="771" spans="2:18">
      <c r="B771" s="85"/>
      <c r="C771" s="85"/>
      <c r="E771" s="86"/>
      <c r="N771" s="83"/>
      <c r="R771" s="84"/>
    </row>
    <row r="772" spans="2:18">
      <c r="B772" s="85"/>
      <c r="C772" s="85"/>
      <c r="E772" s="86"/>
      <c r="N772" s="83"/>
      <c r="R772" s="84"/>
    </row>
    <row r="773" spans="2:18">
      <c r="B773" s="85"/>
      <c r="C773" s="85"/>
      <c r="E773" s="86"/>
      <c r="N773" s="83"/>
      <c r="R773" s="84"/>
    </row>
    <row r="774" spans="2:18">
      <c r="B774" s="85"/>
      <c r="C774" s="85"/>
      <c r="E774" s="86"/>
      <c r="N774" s="83"/>
      <c r="R774" s="84"/>
    </row>
    <row r="775" spans="2:18">
      <c r="B775" s="85"/>
      <c r="C775" s="85"/>
      <c r="E775" s="86"/>
      <c r="N775" s="83"/>
      <c r="R775" s="84"/>
    </row>
    <row r="776" spans="2:18">
      <c r="B776" s="85"/>
      <c r="C776" s="85"/>
      <c r="E776" s="86"/>
      <c r="N776" s="83"/>
      <c r="R776" s="84"/>
    </row>
    <row r="777" spans="2:18">
      <c r="B777" s="85"/>
      <c r="C777" s="85"/>
      <c r="E777" s="86"/>
      <c r="N777" s="83"/>
      <c r="R777" s="84"/>
    </row>
    <row r="778" spans="2:18">
      <c r="B778" s="85"/>
      <c r="C778" s="85"/>
      <c r="E778" s="86"/>
      <c r="N778" s="83"/>
      <c r="R778" s="84"/>
    </row>
    <row r="779" spans="2:18">
      <c r="B779" s="85"/>
      <c r="C779" s="85"/>
      <c r="E779" s="86"/>
      <c r="N779" s="83"/>
      <c r="R779" s="84"/>
    </row>
    <row r="780" spans="2:18">
      <c r="B780" s="85"/>
      <c r="C780" s="85"/>
      <c r="E780" s="86"/>
      <c r="N780" s="83"/>
      <c r="R780" s="84"/>
    </row>
    <row r="781" spans="2:18">
      <c r="B781" s="85"/>
      <c r="C781" s="85"/>
      <c r="E781" s="86"/>
      <c r="N781" s="83"/>
      <c r="R781" s="84"/>
    </row>
    <row r="782" spans="2:18">
      <c r="B782" s="85"/>
      <c r="C782" s="85"/>
      <c r="E782" s="86"/>
      <c r="N782" s="83"/>
      <c r="R782" s="84"/>
    </row>
    <row r="783" spans="2:18">
      <c r="B783" s="85"/>
      <c r="C783" s="85"/>
      <c r="E783" s="86"/>
      <c r="N783" s="83"/>
      <c r="R783" s="84"/>
    </row>
    <row r="784" spans="2:18">
      <c r="B784" s="85"/>
      <c r="C784" s="85"/>
      <c r="E784" s="86"/>
      <c r="N784" s="83"/>
      <c r="R784" s="84"/>
    </row>
    <row r="785" spans="2:18">
      <c r="B785" s="85"/>
      <c r="C785" s="85"/>
      <c r="E785" s="86"/>
      <c r="N785" s="83"/>
      <c r="R785" s="84"/>
    </row>
    <row r="786" spans="2:18">
      <c r="B786" s="85"/>
      <c r="C786" s="85"/>
      <c r="E786" s="86"/>
      <c r="N786" s="83"/>
      <c r="R786" s="84"/>
    </row>
    <row r="787" spans="2:18">
      <c r="B787" s="85"/>
      <c r="C787" s="85"/>
      <c r="E787" s="86"/>
      <c r="N787" s="83"/>
      <c r="R787" s="84"/>
    </row>
    <row r="788" spans="2:18">
      <c r="B788" s="85"/>
      <c r="C788" s="85"/>
      <c r="E788" s="86"/>
      <c r="N788" s="83"/>
      <c r="R788" s="84"/>
    </row>
    <row r="789" spans="2:18">
      <c r="B789" s="85"/>
      <c r="C789" s="85"/>
      <c r="E789" s="86"/>
      <c r="N789" s="83"/>
      <c r="R789" s="84"/>
    </row>
    <row r="790" spans="2:18">
      <c r="B790" s="85"/>
      <c r="C790" s="85"/>
      <c r="E790" s="86"/>
      <c r="N790" s="83"/>
      <c r="R790" s="84"/>
    </row>
    <row r="791" spans="2:18">
      <c r="B791" s="85"/>
      <c r="C791" s="85"/>
      <c r="E791" s="86"/>
      <c r="N791" s="83"/>
      <c r="R791" s="84"/>
    </row>
    <row r="792" spans="2:18">
      <c r="B792" s="85"/>
      <c r="C792" s="85"/>
      <c r="E792" s="86"/>
      <c r="N792" s="83"/>
      <c r="R792" s="84"/>
    </row>
    <row r="793" spans="2:18">
      <c r="B793" s="85"/>
      <c r="C793" s="85"/>
      <c r="E793" s="86"/>
      <c r="N793" s="83"/>
      <c r="R793" s="84"/>
    </row>
    <row r="794" spans="2:18">
      <c r="B794" s="85"/>
      <c r="C794" s="85"/>
      <c r="E794" s="86"/>
      <c r="N794" s="83"/>
      <c r="R794" s="84"/>
    </row>
    <row r="795" spans="2:18">
      <c r="B795" s="85"/>
      <c r="C795" s="85"/>
      <c r="E795" s="86"/>
      <c r="N795" s="83"/>
      <c r="R795" s="84"/>
    </row>
    <row r="796" spans="2:18">
      <c r="B796" s="85"/>
      <c r="C796" s="85"/>
      <c r="E796" s="86"/>
      <c r="N796" s="83"/>
      <c r="R796" s="84"/>
    </row>
    <row r="797" spans="2:18">
      <c r="B797" s="85"/>
      <c r="C797" s="85"/>
      <c r="E797" s="86"/>
      <c r="N797" s="83"/>
      <c r="R797" s="84"/>
    </row>
    <row r="798" spans="2:18">
      <c r="B798" s="85"/>
      <c r="C798" s="85"/>
      <c r="E798" s="86"/>
      <c r="N798" s="83"/>
      <c r="R798" s="84"/>
    </row>
    <row r="799" spans="2:18">
      <c r="B799" s="85"/>
      <c r="C799" s="85"/>
      <c r="E799" s="86"/>
      <c r="N799" s="83"/>
      <c r="R799" s="84"/>
    </row>
    <row r="800" spans="2:18">
      <c r="B800" s="85"/>
      <c r="C800" s="85"/>
      <c r="E800" s="86"/>
      <c r="N800" s="83"/>
      <c r="R800" s="84"/>
    </row>
    <row r="801" spans="2:18">
      <c r="B801" s="85"/>
      <c r="C801" s="85"/>
      <c r="E801" s="86"/>
      <c r="N801" s="83"/>
      <c r="R801" s="84"/>
    </row>
    <row r="802" spans="2:18">
      <c r="B802" s="85"/>
      <c r="C802" s="85"/>
      <c r="E802" s="86"/>
      <c r="N802" s="83"/>
      <c r="R802" s="84"/>
    </row>
    <row r="803" spans="2:18">
      <c r="B803" s="85"/>
      <c r="C803" s="85"/>
      <c r="E803" s="86"/>
      <c r="N803" s="83"/>
      <c r="R803" s="84"/>
    </row>
    <row r="804" spans="2:18">
      <c r="B804" s="85"/>
      <c r="C804" s="85"/>
      <c r="E804" s="86"/>
      <c r="N804" s="83"/>
      <c r="R804" s="84"/>
    </row>
    <row r="805" spans="2:18">
      <c r="B805" s="85"/>
      <c r="C805" s="85"/>
      <c r="E805" s="86"/>
      <c r="N805" s="83"/>
      <c r="R805" s="84"/>
    </row>
    <row r="806" spans="2:18">
      <c r="B806" s="85"/>
      <c r="C806" s="85"/>
      <c r="E806" s="86"/>
      <c r="N806" s="83"/>
      <c r="R806" s="84"/>
    </row>
    <row r="807" spans="2:18">
      <c r="B807" s="85"/>
      <c r="C807" s="85"/>
      <c r="E807" s="86"/>
      <c r="N807" s="83"/>
      <c r="R807" s="84"/>
    </row>
    <row r="808" spans="2:18">
      <c r="B808" s="85"/>
      <c r="C808" s="85"/>
      <c r="E808" s="86"/>
      <c r="N808" s="83"/>
      <c r="R808" s="84"/>
    </row>
    <row r="809" spans="2:18">
      <c r="B809" s="85"/>
      <c r="C809" s="85"/>
      <c r="E809" s="86"/>
      <c r="N809" s="83"/>
      <c r="R809" s="84"/>
    </row>
    <row r="810" spans="2:18">
      <c r="B810" s="85"/>
      <c r="C810" s="85"/>
      <c r="E810" s="86"/>
      <c r="N810" s="83"/>
      <c r="R810" s="84"/>
    </row>
    <row r="811" spans="2:18">
      <c r="B811" s="85"/>
      <c r="C811" s="85"/>
      <c r="E811" s="86"/>
      <c r="N811" s="83"/>
      <c r="R811" s="84"/>
    </row>
    <row r="812" spans="2:18">
      <c r="B812" s="85"/>
      <c r="C812" s="85"/>
      <c r="E812" s="86"/>
      <c r="N812" s="83"/>
      <c r="R812" s="84"/>
    </row>
    <row r="813" spans="2:18">
      <c r="B813" s="85"/>
      <c r="C813" s="85"/>
      <c r="E813" s="86"/>
      <c r="N813" s="83"/>
      <c r="R813" s="84"/>
    </row>
    <row r="814" spans="2:18">
      <c r="B814" s="85"/>
      <c r="C814" s="85"/>
      <c r="E814" s="86"/>
      <c r="N814" s="83"/>
      <c r="R814" s="84"/>
    </row>
    <row r="815" spans="2:18">
      <c r="B815" s="85"/>
      <c r="C815" s="85"/>
      <c r="E815" s="86"/>
      <c r="N815" s="83"/>
      <c r="R815" s="84"/>
    </row>
    <row r="816" spans="2:18">
      <c r="B816" s="85"/>
      <c r="C816" s="85"/>
      <c r="E816" s="86"/>
      <c r="N816" s="83"/>
      <c r="R816" s="84"/>
    </row>
    <row r="817" spans="2:18">
      <c r="B817" s="85"/>
      <c r="C817" s="85"/>
      <c r="E817" s="86"/>
      <c r="N817" s="83"/>
      <c r="R817" s="84"/>
    </row>
    <row r="818" spans="2:18">
      <c r="B818" s="85"/>
      <c r="C818" s="85"/>
      <c r="E818" s="86"/>
      <c r="N818" s="83"/>
      <c r="R818" s="84"/>
    </row>
    <row r="819" spans="2:18">
      <c r="B819" s="85"/>
      <c r="C819" s="85"/>
      <c r="E819" s="86"/>
      <c r="N819" s="83"/>
      <c r="R819" s="84"/>
    </row>
    <row r="820" spans="2:18">
      <c r="B820" s="85"/>
      <c r="C820" s="85"/>
      <c r="E820" s="86"/>
      <c r="N820" s="83"/>
      <c r="R820" s="84"/>
    </row>
    <row r="821" spans="2:18">
      <c r="B821" s="85"/>
      <c r="C821" s="85"/>
      <c r="E821" s="86"/>
      <c r="N821" s="83"/>
      <c r="R821" s="84"/>
    </row>
    <row r="822" spans="2:18">
      <c r="B822" s="85"/>
      <c r="C822" s="85"/>
      <c r="E822" s="86"/>
      <c r="N822" s="83"/>
      <c r="R822" s="84"/>
    </row>
    <row r="823" spans="2:18">
      <c r="B823" s="85"/>
      <c r="C823" s="85"/>
      <c r="E823" s="86"/>
      <c r="N823" s="83"/>
      <c r="R823" s="84"/>
    </row>
    <row r="824" spans="2:18">
      <c r="B824" s="85"/>
      <c r="C824" s="85"/>
      <c r="E824" s="86"/>
      <c r="N824" s="83"/>
      <c r="R824" s="84"/>
    </row>
    <row r="825" spans="2:18">
      <c r="B825" s="85"/>
      <c r="C825" s="85"/>
      <c r="E825" s="86"/>
      <c r="N825" s="83"/>
      <c r="R825" s="84"/>
    </row>
    <row r="826" spans="2:18">
      <c r="B826" s="85"/>
      <c r="C826" s="85"/>
      <c r="E826" s="86"/>
      <c r="N826" s="83"/>
      <c r="R826" s="84"/>
    </row>
    <row r="827" spans="2:18">
      <c r="B827" s="85"/>
      <c r="C827" s="85"/>
      <c r="E827" s="86"/>
      <c r="N827" s="83"/>
      <c r="R827" s="84"/>
    </row>
    <row r="828" spans="2:18">
      <c r="B828" s="85"/>
      <c r="C828" s="85"/>
      <c r="E828" s="86"/>
      <c r="N828" s="83"/>
      <c r="R828" s="84"/>
    </row>
    <row r="829" spans="2:18">
      <c r="B829" s="85"/>
      <c r="C829" s="85"/>
      <c r="E829" s="86"/>
      <c r="N829" s="83"/>
      <c r="R829" s="84"/>
    </row>
    <row r="830" spans="2:18">
      <c r="B830" s="85"/>
      <c r="C830" s="85"/>
      <c r="E830" s="86"/>
      <c r="N830" s="83"/>
      <c r="R830" s="84"/>
    </row>
    <row r="831" spans="2:18">
      <c r="B831" s="85"/>
      <c r="C831" s="85"/>
      <c r="E831" s="86"/>
      <c r="N831" s="83"/>
      <c r="R831" s="84"/>
    </row>
    <row r="832" spans="2:18">
      <c r="B832" s="85"/>
      <c r="C832" s="85"/>
      <c r="E832" s="86"/>
      <c r="N832" s="83"/>
      <c r="R832" s="84"/>
    </row>
    <row r="833" spans="2:18">
      <c r="B833" s="85"/>
      <c r="C833" s="85"/>
      <c r="E833" s="86"/>
      <c r="N833" s="83"/>
      <c r="R833" s="84"/>
    </row>
    <row r="834" spans="2:18">
      <c r="B834" s="85"/>
      <c r="C834" s="85"/>
      <c r="E834" s="86"/>
      <c r="N834" s="83"/>
      <c r="R834" s="84"/>
    </row>
    <row r="835" spans="2:18">
      <c r="B835" s="85"/>
      <c r="C835" s="85"/>
      <c r="E835" s="86"/>
      <c r="N835" s="83"/>
      <c r="R835" s="84"/>
    </row>
    <row r="836" spans="2:18">
      <c r="B836" s="85"/>
      <c r="C836" s="85"/>
      <c r="E836" s="86"/>
      <c r="N836" s="83"/>
      <c r="R836" s="84"/>
    </row>
    <row r="837" spans="2:18">
      <c r="B837" s="85"/>
      <c r="C837" s="85"/>
      <c r="E837" s="86"/>
      <c r="N837" s="83"/>
      <c r="R837" s="84"/>
    </row>
    <row r="838" spans="2:18">
      <c r="B838" s="85"/>
      <c r="C838" s="85"/>
      <c r="E838" s="86"/>
      <c r="N838" s="83"/>
      <c r="R838" s="84"/>
    </row>
    <row r="839" spans="2:18">
      <c r="B839" s="85"/>
      <c r="C839" s="85"/>
      <c r="E839" s="86"/>
      <c r="N839" s="83"/>
      <c r="R839" s="84"/>
    </row>
    <row r="840" spans="2:18">
      <c r="B840" s="85"/>
      <c r="C840" s="85"/>
      <c r="E840" s="86"/>
      <c r="N840" s="83"/>
      <c r="R840" s="84"/>
    </row>
    <row r="841" spans="2:18">
      <c r="B841" s="85"/>
      <c r="C841" s="85"/>
      <c r="E841" s="86"/>
      <c r="N841" s="83"/>
      <c r="R841" s="84"/>
    </row>
    <row r="842" spans="2:18">
      <c r="B842" s="85"/>
      <c r="C842" s="85"/>
      <c r="E842" s="86"/>
      <c r="N842" s="83"/>
      <c r="R842" s="84"/>
    </row>
    <row r="843" spans="2:18">
      <c r="B843" s="85"/>
      <c r="C843" s="85"/>
      <c r="E843" s="86"/>
      <c r="N843" s="83"/>
      <c r="R843" s="84"/>
    </row>
    <row r="844" spans="2:18">
      <c r="B844" s="85"/>
      <c r="C844" s="85"/>
      <c r="E844" s="86"/>
      <c r="N844" s="83"/>
      <c r="R844" s="84"/>
    </row>
    <row r="845" spans="2:18">
      <c r="B845" s="85"/>
      <c r="C845" s="85"/>
      <c r="E845" s="86"/>
      <c r="N845" s="83"/>
      <c r="R845" s="84"/>
    </row>
    <row r="846" spans="2:18">
      <c r="B846" s="85"/>
      <c r="C846" s="85"/>
      <c r="E846" s="86"/>
      <c r="N846" s="83"/>
      <c r="R846" s="84"/>
    </row>
    <row r="847" spans="2:18">
      <c r="B847" s="85"/>
      <c r="C847" s="85"/>
      <c r="E847" s="86"/>
      <c r="N847" s="83"/>
      <c r="R847" s="84"/>
    </row>
    <row r="848" spans="2:18">
      <c r="B848" s="85"/>
      <c r="C848" s="85"/>
      <c r="E848" s="86"/>
      <c r="N848" s="83"/>
      <c r="R848" s="84"/>
    </row>
    <row r="849" spans="2:18">
      <c r="B849" s="85"/>
      <c r="C849" s="85"/>
      <c r="E849" s="86"/>
      <c r="N849" s="83"/>
      <c r="R849" s="84"/>
    </row>
    <row r="850" spans="2:18">
      <c r="B850" s="85"/>
      <c r="C850" s="85"/>
      <c r="E850" s="86"/>
      <c r="N850" s="83"/>
      <c r="R850" s="84"/>
    </row>
    <row r="851" spans="2:18">
      <c r="B851" s="85"/>
      <c r="C851" s="85"/>
      <c r="E851" s="86"/>
      <c r="N851" s="83"/>
      <c r="R851" s="84"/>
    </row>
    <row r="852" spans="2:18">
      <c r="B852" s="85"/>
      <c r="C852" s="85"/>
      <c r="E852" s="86"/>
      <c r="N852" s="83"/>
      <c r="R852" s="84"/>
    </row>
    <row r="853" spans="2:18">
      <c r="B853" s="85"/>
      <c r="C853" s="85"/>
      <c r="E853" s="86"/>
      <c r="N853" s="83"/>
      <c r="R853" s="84"/>
    </row>
    <row r="854" spans="2:18">
      <c r="B854" s="85"/>
      <c r="C854" s="85"/>
      <c r="E854" s="86"/>
      <c r="N854" s="83"/>
      <c r="R854" s="84"/>
    </row>
    <row r="855" spans="2:18">
      <c r="B855" s="85"/>
      <c r="C855" s="85"/>
      <c r="E855" s="86"/>
      <c r="N855" s="83"/>
      <c r="R855" s="84"/>
    </row>
    <row r="856" spans="2:18">
      <c r="E856" s="86"/>
      <c r="N856" s="83"/>
      <c r="R856" s="84"/>
    </row>
    <row r="857" spans="2:18">
      <c r="N857" s="83"/>
      <c r="R857" s="84"/>
    </row>
    <row r="858" spans="2:18">
      <c r="N858" s="83"/>
      <c r="R858" s="84"/>
    </row>
    <row r="859" spans="2:18">
      <c r="N859" s="83"/>
      <c r="R859" s="84"/>
    </row>
    <row r="860" spans="2:18">
      <c r="N860" s="83"/>
      <c r="R860" s="84"/>
    </row>
    <row r="861" spans="2:18">
      <c r="N861" s="83"/>
      <c r="R861" s="84"/>
    </row>
  </sheetData>
  <mergeCells count="5">
    <mergeCell ref="C2:D2"/>
    <mergeCell ref="C3:D3"/>
    <mergeCell ref="C4:D4"/>
    <mergeCell ref="C5:D5"/>
    <mergeCell ref="C6:D6"/>
  </mergeCells>
  <hyperlinks>
    <hyperlink ref="C8" r:id="rId1" xr:uid="{8E00BC3C-B1E9-4E8A-AAB1-539559D26D69}"/>
    <hyperlink ref="D17" r:id="rId2" xr:uid="{031F1A22-885C-4D9B-9636-710FF0C7DD9B}"/>
    <hyperlink ref="C1" r:id="rId3" xr:uid="{F94A4585-AF45-469D-8DFE-CBAAFCD4CD87}"/>
    <hyperlink ref="B22" r:id="rId4" xr:uid="{4AE3E359-F1FF-43FE-B0EE-1750C041F46D}"/>
  </hyperlinks>
  <pageMargins left="0.7" right="0.7" top="0.75" bottom="0.75" header="0" footer="0"/>
  <pageSetup paperSize="3" scale="1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Budget-NoSub</vt:lpstr>
      <vt:lpstr>Budget-wzSub</vt:lpstr>
      <vt:lpstr>NIH Modular</vt:lpstr>
      <vt:lpstr>DOE wz CostShare</vt:lpstr>
      <vt:lpstr>MURI</vt:lpstr>
      <vt:lpstr>USDA</vt:lpstr>
      <vt:lpstr>Travel</vt:lpstr>
      <vt:lpstr>GA Rate</vt:lpstr>
      <vt:lpstr>Fringe</vt:lpstr>
      <vt:lpstr>eRoutingInstruction</vt:lpstr>
      <vt:lpstr>eRoutingInstruction!_Hlk43727562</vt:lpstr>
      <vt:lpstr>'Budget-NoSub'!Print_Area</vt:lpstr>
      <vt:lpstr>'Budget-wzSub'!Print_Area</vt:lpstr>
      <vt:lpstr>'DOE wz CostShare'!Print_Area</vt:lpstr>
      <vt:lpstr>MURI!Print_Area</vt:lpstr>
      <vt:lpstr>'NIH Modular'!Print_Area</vt:lpstr>
      <vt:lpstr>USDA!Print_Area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mwan3</dc:creator>
  <cp:lastModifiedBy>Ming Wan</cp:lastModifiedBy>
  <cp:lastPrinted>2022-11-29T17:25:54Z</cp:lastPrinted>
  <dcterms:created xsi:type="dcterms:W3CDTF">2012-06-29T14:07:37Z</dcterms:created>
  <dcterms:modified xsi:type="dcterms:W3CDTF">2022-11-30T14:43:50Z</dcterms:modified>
</cp:coreProperties>
</file>